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sinke\Desktop\November 2020\"/>
    </mc:Choice>
  </mc:AlternateContent>
  <xr:revisionPtr revIDLastSave="0" documentId="8_{2C73E47A-312E-4EBC-8186-A37882672049}" xr6:coauthVersionLast="45" xr6:coauthVersionMax="45" xr10:uidLastSave="{00000000-0000-0000-0000-000000000000}"/>
  <bookViews>
    <workbookView xWindow="-28920" yWindow="-90" windowWidth="29040" windowHeight="15840" xr2:uid="{00000000-000D-0000-FFFF-FFFF00000000}"/>
  </bookViews>
  <sheets>
    <sheet name="INSTRUCTIONS" sheetId="5" r:id="rId1"/>
    <sheet name="Financials" sheetId="1" r:id="rId2"/>
    <sheet name="Mortgage" sheetId="2" r:id="rId3"/>
    <sheet name="Assumptions" sheetId="3" r:id="rId4"/>
    <sheet name="Rents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" i="4" l="1"/>
  <c r="K5" i="4"/>
  <c r="K7" i="4"/>
  <c r="K8" i="4"/>
  <c r="K3" i="4"/>
  <c r="G4" i="4"/>
  <c r="H4" i="4"/>
  <c r="I4" i="4"/>
  <c r="G5" i="4"/>
  <c r="H5" i="4"/>
  <c r="I5" i="4"/>
  <c r="G7" i="4"/>
  <c r="H7" i="4"/>
  <c r="I7" i="4"/>
  <c r="G8" i="4"/>
  <c r="H8" i="4"/>
  <c r="I8" i="4"/>
  <c r="I3" i="4"/>
  <c r="H3" i="4"/>
  <c r="G3" i="4"/>
  <c r="C13" i="4"/>
  <c r="C12" i="4"/>
  <c r="C11" i="4"/>
  <c r="G11" i="2" l="1"/>
  <c r="B5" i="2"/>
  <c r="G14" i="2"/>
  <c r="B6" i="2"/>
  <c r="G10" i="2" s="1"/>
  <c r="G15" i="2" s="1"/>
  <c r="G16" i="2" l="1"/>
  <c r="G17" i="2" s="1"/>
  <c r="G18" i="2" s="1"/>
  <c r="G22" i="2"/>
  <c r="K23" i="1"/>
  <c r="K22" i="1"/>
  <c r="K19" i="1"/>
  <c r="K20" i="1"/>
  <c r="K18" i="1"/>
  <c r="H22" i="2" l="1"/>
  <c r="I22" i="2" s="1"/>
  <c r="G23" i="2" s="1"/>
  <c r="E24" i="1"/>
  <c r="B17" i="1" s="1"/>
  <c r="E27" i="1" l="1"/>
  <c r="I23" i="1"/>
  <c r="I22" i="1"/>
  <c r="I20" i="1"/>
  <c r="I19" i="1"/>
  <c r="I18" i="1"/>
  <c r="D6" i="3"/>
  <c r="D7" i="3"/>
  <c r="D8" i="3"/>
  <c r="D9" i="3"/>
  <c r="D10" i="3"/>
  <c r="D38" i="3" s="1"/>
  <c r="D11" i="3"/>
  <c r="D5" i="3"/>
  <c r="I24" i="1" l="1"/>
  <c r="B8" i="2"/>
  <c r="I35" i="1" l="1"/>
  <c r="B6" i="1" s="1"/>
  <c r="F33" i="1"/>
  <c r="B33" i="1"/>
  <c r="G27" i="1"/>
  <c r="B21" i="1" s="1"/>
  <c r="G19" i="1"/>
  <c r="G20" i="1"/>
  <c r="G22" i="1"/>
  <c r="G23" i="1"/>
  <c r="D28" i="3" l="1"/>
  <c r="B30" i="1" s="1"/>
  <c r="C20" i="3"/>
  <c r="C22" i="3" s="1"/>
  <c r="D36" i="3"/>
  <c r="B50" i="1"/>
  <c r="G41" i="1" s="1"/>
  <c r="D30" i="3"/>
  <c r="B31" i="1" s="1"/>
  <c r="C21" i="3"/>
  <c r="B28" i="1"/>
  <c r="D18" i="3"/>
  <c r="B32" i="1" s="1"/>
  <c r="B41" i="1"/>
  <c r="B40" i="1"/>
  <c r="D32" i="3"/>
  <c r="B39" i="1" s="1"/>
  <c r="D13" i="3"/>
  <c r="B27" i="1" s="1"/>
  <c r="C23" i="3" l="1"/>
  <c r="C24" i="3"/>
  <c r="D26" i="3" l="1"/>
  <c r="B29" i="1" s="1"/>
  <c r="B4" i="2"/>
  <c r="B7" i="2"/>
  <c r="B38" i="1" s="1"/>
  <c r="B14" i="2"/>
  <c r="B52" i="1"/>
  <c r="H23" i="2" l="1"/>
  <c r="I23" i="2" s="1"/>
  <c r="G24" i="2" s="1"/>
  <c r="G26" i="1"/>
  <c r="B20" i="1" s="1"/>
  <c r="G18" i="1"/>
  <c r="H24" i="2" l="1"/>
  <c r="I24" i="2" s="1"/>
  <c r="G25" i="2" s="1"/>
  <c r="G24" i="1"/>
  <c r="B16" i="1" s="1"/>
  <c r="B18" i="1" s="1"/>
  <c r="B8" i="1"/>
  <c r="H25" i="2" l="1"/>
  <c r="I25" i="2" s="1"/>
  <c r="G26" i="2" s="1"/>
  <c r="B3" i="2"/>
  <c r="B10" i="2" s="1"/>
  <c r="G15" i="1"/>
  <c r="G14" i="1" s="1"/>
  <c r="H26" i="2" l="1"/>
  <c r="I26" i="2" s="1"/>
  <c r="B22" i="2"/>
  <c r="G27" i="2" l="1"/>
  <c r="H27" i="2" s="1"/>
  <c r="I27" i="2" s="1"/>
  <c r="B15" i="2"/>
  <c r="C22" i="2" s="1"/>
  <c r="D22" i="2" s="1"/>
  <c r="B23" i="2" s="1"/>
  <c r="C23" i="2" s="1"/>
  <c r="G28" i="2" l="1"/>
  <c r="H28" i="2" s="1"/>
  <c r="I28" i="2" s="1"/>
  <c r="G29" i="2" s="1"/>
  <c r="D23" i="2"/>
  <c r="B24" i="2" s="1"/>
  <c r="C24" i="2" s="1"/>
  <c r="B16" i="2"/>
  <c r="B17" i="2" s="1"/>
  <c r="B18" i="2" s="1"/>
  <c r="H29" i="2" l="1"/>
  <c r="I29" i="2" s="1"/>
  <c r="G30" i="2" s="1"/>
  <c r="D24" i="2"/>
  <c r="H30" i="2" l="1"/>
  <c r="I30" i="2" s="1"/>
  <c r="G31" i="2" s="1"/>
  <c r="B25" i="2"/>
  <c r="H31" i="2" l="1"/>
  <c r="I31" i="2" s="1"/>
  <c r="C25" i="2"/>
  <c r="G32" i="2" l="1"/>
  <c r="H32" i="2" s="1"/>
  <c r="I32" i="2" s="1"/>
  <c r="G33" i="2" s="1"/>
  <c r="H33" i="2" s="1"/>
  <c r="D25" i="2"/>
  <c r="B26" i="2" s="1"/>
  <c r="C26" i="2" s="1"/>
  <c r="D26" i="2" s="1"/>
  <c r="B27" i="2" s="1"/>
  <c r="C27" i="2" s="1"/>
  <c r="D27" i="2" s="1"/>
  <c r="G35" i="2" l="1"/>
  <c r="B37" i="1" s="1"/>
  <c r="B28" i="2"/>
  <c r="C28" i="2" s="1"/>
  <c r="D28" i="2" s="1"/>
  <c r="H35" i="2" l="1"/>
  <c r="B36" i="1" s="1"/>
  <c r="I33" i="2"/>
  <c r="B29" i="2"/>
  <c r="C29" i="2" s="1"/>
  <c r="D29" i="2" s="1"/>
  <c r="B30" i="2" s="1"/>
  <c r="C30" i="2" s="1"/>
  <c r="D30" i="2" s="1"/>
  <c r="B31" i="2" s="1"/>
  <c r="C31" i="2" s="1"/>
  <c r="D31" i="2" s="1"/>
  <c r="B32" i="2" l="1"/>
  <c r="C32" i="2" s="1"/>
  <c r="D32" i="2" s="1"/>
  <c r="B33" i="2" l="1"/>
  <c r="C33" i="2" l="1"/>
  <c r="B35" i="2"/>
  <c r="B35" i="1" l="1"/>
  <c r="G40" i="1" s="1"/>
  <c r="C35" i="2"/>
  <c r="D33" i="2"/>
  <c r="B34" i="1" l="1"/>
  <c r="G44" i="1" s="1"/>
  <c r="B51" i="1" l="1"/>
  <c r="B23" i="1"/>
  <c r="D3" i="3" l="1"/>
  <c r="B26" i="1" s="1"/>
  <c r="B43" i="1" s="1"/>
  <c r="B45" i="1" s="1"/>
  <c r="B54" i="1" s="1"/>
  <c r="G39" i="1" s="1"/>
  <c r="G43" i="1" s="1"/>
  <c r="G46" i="1" s="1"/>
</calcChain>
</file>

<file path=xl/sharedStrings.xml><?xml version="1.0" encoding="utf-8"?>
<sst xmlns="http://schemas.openxmlformats.org/spreadsheetml/2006/main" count="190" uniqueCount="144">
  <si>
    <t>To Build:</t>
  </si>
  <si>
    <t>Land</t>
  </si>
  <si>
    <t>Construction</t>
  </si>
  <si>
    <t>Total Cost:</t>
  </si>
  <si>
    <t>Preliminary Budget:</t>
  </si>
  <si>
    <t>Rent Revenue</t>
  </si>
  <si>
    <t>Suites:</t>
  </si>
  <si>
    <t>2 Bedroom</t>
  </si>
  <si>
    <t>Number</t>
  </si>
  <si>
    <t>Rent</t>
  </si>
  <si>
    <t>Net Revenue</t>
  </si>
  <si>
    <t>TOTAL</t>
  </si>
  <si>
    <t>Parking</t>
  </si>
  <si>
    <t>Parking Revenue</t>
  </si>
  <si>
    <t xml:space="preserve">  Rent Reductions (LL)</t>
  </si>
  <si>
    <t>Life Leases</t>
  </si>
  <si>
    <t>Expenses</t>
  </si>
  <si>
    <t>Society Expenses</t>
  </si>
  <si>
    <t>Payroll</t>
  </si>
  <si>
    <t>Property Taxes</t>
  </si>
  <si>
    <t>Utilities</t>
  </si>
  <si>
    <t>Insurance</t>
  </si>
  <si>
    <t>Contingency Reserve</t>
  </si>
  <si>
    <t>Maintenance</t>
  </si>
  <si>
    <t>Mortgage Principal</t>
  </si>
  <si>
    <t>Mortgage Interest</t>
  </si>
  <si>
    <t>Amortization</t>
  </si>
  <si>
    <t>Housekeeping</t>
  </si>
  <si>
    <t>Recreation</t>
  </si>
  <si>
    <t>Total Expenses</t>
  </si>
  <si>
    <t>Office &amp; General</t>
  </si>
  <si>
    <t>Net Cash Flow</t>
  </si>
  <si>
    <t>Financial Statement Adjustments:</t>
  </si>
  <si>
    <t>Net Income (F/S)</t>
  </si>
  <si>
    <t xml:space="preserve">  Vacancy Allowance 1%</t>
  </si>
  <si>
    <t>Directed Donations</t>
  </si>
  <si>
    <t>Annual Interest Rate</t>
  </si>
  <si>
    <t>Life of Loan</t>
  </si>
  <si>
    <t>Number of PMTs/year</t>
  </si>
  <si>
    <t>Total Number fo PMTs</t>
  </si>
  <si>
    <t>Payment per Period</t>
  </si>
  <si>
    <t>Total Annual Cost</t>
  </si>
  <si>
    <t>Sum of Payments</t>
  </si>
  <si>
    <t>Interest Cost</t>
  </si>
  <si>
    <t>Interest</t>
  </si>
  <si>
    <t>Principal</t>
  </si>
  <si>
    <t>Balance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</si>
  <si>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</si>
  <si>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</si>
  <si>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</si>
  <si>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</si>
  <si>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</si>
  <si>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</si>
  <si>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</si>
  <si>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</si>
  <si>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</si>
  <si>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</si>
  <si>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</si>
  <si>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</si>
  <si>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Mortgage Calculations</t>
  </si>
  <si>
    <t>Funding Requirement</t>
  </si>
  <si>
    <t>Mortgage Amount</t>
  </si>
  <si>
    <t>Private Loans</t>
  </si>
  <si>
    <t>Private Loan Interest</t>
  </si>
  <si>
    <t>Funding:</t>
  </si>
  <si>
    <t>Mortgage</t>
  </si>
  <si>
    <t>Rates</t>
  </si>
  <si>
    <t>Assumptions</t>
  </si>
  <si>
    <t>Basis</t>
  </si>
  <si>
    <t>Calculated</t>
  </si>
  <si>
    <t>Budget</t>
  </si>
  <si>
    <t>Payroll (Wages + Benefits)</t>
  </si>
  <si>
    <t>Total Wages &amp; Benefits</t>
  </si>
  <si>
    <t>Power</t>
  </si>
  <si>
    <t>Water &amp; Sewer</t>
  </si>
  <si>
    <t>Heating</t>
  </si>
  <si>
    <t>Telephone</t>
  </si>
  <si>
    <t>Cable TV</t>
  </si>
  <si>
    <t>Insurance (includes Tenant Insurance)</t>
  </si>
  <si>
    <t>Proportionate to EH</t>
  </si>
  <si>
    <t>Beginnings of an Evergreen Policy</t>
  </si>
  <si>
    <t>Housekeeping Supplies</t>
  </si>
  <si>
    <t>Recreation Supplies</t>
  </si>
  <si>
    <t>Office and General</t>
  </si>
  <si>
    <t>Studio - Small</t>
  </si>
  <si>
    <t>2 Bed + Den</t>
  </si>
  <si>
    <t>Donation</t>
  </si>
  <si>
    <t>Housekeeping 2.0 FTE</t>
  </si>
  <si>
    <t>Kitchen</t>
  </si>
  <si>
    <t>Meal Plans</t>
  </si>
  <si>
    <t>Kitchen - Food &amp; Expenses</t>
  </si>
  <si>
    <t>Proportionate to EH 2/3 of Wages</t>
  </si>
  <si>
    <t>As per City of Edmonton calculator</t>
  </si>
  <si>
    <t>West End Christian Seniors Homes</t>
  </si>
  <si>
    <t>Finance - through Society .5 FTE</t>
  </si>
  <si>
    <t>Donation of Land &amp; Capital</t>
  </si>
  <si>
    <t xml:space="preserve">Maintenance 1.0 FTE </t>
  </si>
  <si>
    <t>FTE</t>
  </si>
  <si>
    <t>.1% of Building Cost</t>
  </si>
  <si>
    <t>SF</t>
  </si>
  <si>
    <t>Amenities Ratio</t>
  </si>
  <si>
    <t>Cost to Build/SF</t>
  </si>
  <si>
    <t>Net SF</t>
  </si>
  <si>
    <t>Debt Servicing</t>
  </si>
  <si>
    <t>Net Income</t>
  </si>
  <si>
    <t>Available</t>
  </si>
  <si>
    <t>Princ + Int</t>
  </si>
  <si>
    <t>Price/SF</t>
  </si>
  <si>
    <t>Debt Service Coverage</t>
  </si>
  <si>
    <t>To Operate (Typical early years):</t>
  </si>
  <si>
    <t>Includes all of building and equipment/appliances/etc. plus 3.5% Contingency</t>
  </si>
  <si>
    <t>Lg 1 Bedroom</t>
  </si>
  <si>
    <t>Sm 1 Bedroom</t>
  </si>
  <si>
    <t>CMHC Grant</t>
  </si>
  <si>
    <t>CMHC Mortgage</t>
  </si>
  <si>
    <t>CMHC Mortgage Amount</t>
  </si>
  <si>
    <t>CMHC Mtg Principal</t>
  </si>
  <si>
    <t>CMHC Mtg Interest</t>
  </si>
  <si>
    <t>Society</t>
  </si>
  <si>
    <t>Society is usually net gain</t>
  </si>
  <si>
    <t>Operations included in Admin</t>
  </si>
  <si>
    <t>Kitchen 3 FTE</t>
  </si>
  <si>
    <t>Expectation is for a Zero Rating</t>
  </si>
  <si>
    <t>High Efficiency building</t>
  </si>
  <si>
    <t>Net Zero through fundraising</t>
  </si>
  <si>
    <t>Meal Plans/Kitchen</t>
  </si>
  <si>
    <t>Change on</t>
  </si>
  <si>
    <t>Financials screen</t>
  </si>
  <si>
    <t>Administration 2.0 FTE</t>
  </si>
  <si>
    <t>Rec/Res Support 1.0 FTE</t>
  </si>
  <si>
    <t>Unit</t>
  </si>
  <si>
    <t>Sq. Ft.</t>
  </si>
  <si>
    <t>Includes:</t>
  </si>
  <si>
    <t>Power - 70%</t>
  </si>
  <si>
    <t>Heat - 70%</t>
  </si>
  <si>
    <t>Water - 80%</t>
  </si>
  <si>
    <t>Monthly Power per sf</t>
  </si>
  <si>
    <t>Monthly Heat per sf</t>
  </si>
  <si>
    <t>Monthly Water per sf</t>
  </si>
  <si>
    <t>Gross Rent</t>
  </si>
  <si>
    <t>Notes:</t>
  </si>
  <si>
    <t>1. All of the blue cells are variables that can be played with to create different scenarios</t>
  </si>
  <si>
    <t>2. Our minimum debt service ratio is 1.15</t>
  </si>
  <si>
    <t>3. The cost per sqaure foot for the North Wing was $225/sq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</si>
</sst>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#,##0"/>
    <numFmt numFmtId="165" formatCode="#,##0.00;[Red]#,##0.00"/>
    <numFmt numFmtId="166" formatCode="&quot;$&quot;#,##0.00"/>
    <numFmt numFmtId="167" formatCode="&quot;$&quot;#,##0"/>
    <numFmt numFmtId="168" formatCode="&quot;$&quot;#,##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164" fontId="0" fillId="0" borderId="0" xfId="0" applyNumberFormat="1"/>
    <xf numFmtId="0" fontId="1" fillId="0" borderId="0" xfId="0" applyFont="1"/>
    <xf numFmtId="165" fontId="0" fillId="0" borderId="0" xfId="0" applyNumberFormat="1"/>
    <xf numFmtId="0" fontId="0" fillId="0" borderId="0" xfId="0"/>
    <xf numFmtId="10" fontId="0" fillId="0" borderId="0" xfId="0" applyNumberFormat="1"/>
    <xf numFmtId="3" fontId="0" fillId="0" borderId="0" xfId="0" applyNumberFormat="1"/>
    <xf numFmtId="165" fontId="0" fillId="2" borderId="0" xfId="0" applyNumberFormat="1" applyFill="1" applyProtection="1">
      <protection locked="0"/>
    </xf>
    <xf numFmtId="3" fontId="0" fillId="0" borderId="0" xfId="0" applyNumberFormat="1" applyAlignment="1">
      <alignment horizontal="right"/>
    </xf>
    <xf numFmtId="38" fontId="0" fillId="2" borderId="0" xfId="0" applyNumberFormat="1" applyFill="1" applyProtection="1">
      <protection locked="0"/>
    </xf>
    <xf numFmtId="38" fontId="0" fillId="0" borderId="0" xfId="0" applyNumberFormat="1" applyProtection="1"/>
    <xf numFmtId="38" fontId="0" fillId="0" borderId="0" xfId="0" applyNumberFormat="1" applyFont="1" applyProtection="1"/>
    <xf numFmtId="0" fontId="0" fillId="0" borderId="0" xfId="0" applyProtection="1"/>
    <xf numFmtId="164" fontId="0" fillId="0" borderId="0" xfId="0" applyNumberFormat="1" applyProtection="1"/>
    <xf numFmtId="165" fontId="0" fillId="0" borderId="0" xfId="0" applyNumberFormat="1" applyProtection="1"/>
    <xf numFmtId="0" fontId="1" fillId="0" borderId="0" xfId="0" applyFont="1" applyProtection="1"/>
    <xf numFmtId="164" fontId="1" fillId="0" borderId="0" xfId="0" applyNumberFormat="1" applyFont="1" applyProtection="1"/>
    <xf numFmtId="165" fontId="1" fillId="0" borderId="0" xfId="0" applyNumberFormat="1" applyFont="1" applyProtection="1"/>
    <xf numFmtId="38" fontId="0" fillId="0" borderId="1" xfId="0" applyNumberFormat="1" applyBorder="1" applyProtection="1"/>
    <xf numFmtId="0" fontId="0" fillId="0" borderId="0" xfId="0" applyAlignment="1" applyProtection="1">
      <alignment horizontal="right"/>
    </xf>
    <xf numFmtId="10" fontId="0" fillId="0" borderId="0" xfId="0" applyNumberFormat="1" applyProtection="1"/>
    <xf numFmtId="0" fontId="0" fillId="0" borderId="0" xfId="0" applyProtection="1">
      <protection locked="0"/>
    </xf>
    <xf numFmtId="165" fontId="0" fillId="0" borderId="0" xfId="0" applyNumberFormat="1" applyProtection="1">
      <protection locked="0"/>
    </xf>
    <xf numFmtId="3" fontId="0" fillId="3" borderId="0" xfId="0" applyNumberFormat="1" applyFill="1" applyProtection="1">
      <protection locked="0"/>
    </xf>
    <xf numFmtId="0" fontId="0" fillId="3" borderId="0" xfId="0" applyFill="1" applyProtection="1">
      <protection locked="0"/>
    </xf>
    <xf numFmtId="166" fontId="0" fillId="0" borderId="0" xfId="0" applyNumberFormat="1"/>
    <xf numFmtId="166" fontId="1" fillId="0" borderId="0" xfId="0" applyNumberFormat="1" applyFont="1"/>
    <xf numFmtId="166" fontId="0" fillId="0" borderId="0" xfId="0" applyNumberFormat="1" applyAlignment="1">
      <alignment horizontal="right"/>
    </xf>
    <xf numFmtId="38" fontId="1" fillId="0" borderId="0" xfId="0" applyNumberFormat="1" applyFont="1" applyProtection="1"/>
    <xf numFmtId="10" fontId="0" fillId="4" borderId="0" xfId="0" applyNumberFormat="1" applyFill="1" applyProtection="1"/>
    <xf numFmtId="38" fontId="0" fillId="5" borderId="0" xfId="0" applyNumberFormat="1" applyFill="1" applyProtection="1">
      <protection locked="0"/>
    </xf>
    <xf numFmtId="10" fontId="0" fillId="5" borderId="0" xfId="0" applyNumberFormat="1" applyFill="1" applyProtection="1">
      <protection locked="0"/>
    </xf>
    <xf numFmtId="167" fontId="1" fillId="0" borderId="0" xfId="0" applyNumberFormat="1" applyFont="1"/>
    <xf numFmtId="167" fontId="0" fillId="0" borderId="0" xfId="0" applyNumberFormat="1"/>
    <xf numFmtId="168" fontId="0" fillId="0" borderId="0" xfId="0" applyNumberFormat="1"/>
    <xf numFmtId="0" fontId="3" fillId="0" borderId="0" xfId="0" applyFont="1"/>
  </cellXfs>
  <cellStyles count="2">
    <cellStyle name="Normal" xfId="0" builtinId="0"/>
    <cellStyle name="Normal 9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BA9FB-348D-4040-9F04-F66A49E0CD8E}">
  <dimension ref="A2:A5"/>
  <sheetViews>
    <sheetView tabSelected="1" workbookViewId="0">
      <selection activeCell="A3" sqref="A3"/>
    </sheetView>
  </sheetViews>
  <sheetFormatPr defaultRowHeight="15" x14ac:dyDescent="0.25"/>
  <sheetData>
    <row r="2" spans="1:1" x14ac:dyDescent="0.25">
      <c r="A2" s="35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5"/>
  <sheetViews>
    <sheetView zoomScaleNormal="100" workbookViewId="0">
      <selection activeCell="W7" sqref="W7"/>
    </sheetView>
  </sheetViews>
  <sheetFormatPr defaultRowHeight="15" x14ac:dyDescent="0.25"/>
  <cols>
    <col min="1" max="1" width="22.140625" customWidth="1"/>
    <col min="2" max="2" width="15.5703125" style="1" customWidth="1"/>
    <col min="4" max="4" width="15.140625" customWidth="1"/>
    <col min="6" max="6" width="9.140625" style="3"/>
    <col min="7" max="7" width="13" style="3" customWidth="1"/>
    <col min="9" max="9" width="12.140625" customWidth="1"/>
    <col min="11" max="11" width="9.140625" style="25"/>
  </cols>
  <sheetData>
    <row r="1" spans="1:11" x14ac:dyDescent="0.25">
      <c r="A1" s="12" t="s">
        <v>93</v>
      </c>
      <c r="B1" s="13"/>
      <c r="C1" s="12"/>
      <c r="D1" s="30"/>
      <c r="E1" s="12"/>
      <c r="F1" s="14"/>
      <c r="G1" s="14"/>
      <c r="H1" s="12"/>
      <c r="I1" s="12"/>
    </row>
    <row r="2" spans="1:11" x14ac:dyDescent="0.25">
      <c r="A2" s="12"/>
      <c r="B2" s="13"/>
      <c r="C2" s="12"/>
      <c r="D2" s="12"/>
      <c r="E2" s="12"/>
      <c r="F2" s="14"/>
      <c r="G2" s="14"/>
      <c r="H2" s="12"/>
      <c r="I2" s="12"/>
    </row>
    <row r="3" spans="1:11" s="2" customFormat="1" x14ac:dyDescent="0.25">
      <c r="A3" s="15" t="s">
        <v>0</v>
      </c>
      <c r="B3" s="16"/>
      <c r="C3" s="15"/>
      <c r="D3" s="15"/>
      <c r="E3" s="15"/>
      <c r="F3" s="17"/>
      <c r="G3" s="17"/>
      <c r="H3" s="15"/>
      <c r="I3" s="15"/>
      <c r="K3" s="26"/>
    </row>
    <row r="4" spans="1:11" x14ac:dyDescent="0.25">
      <c r="A4" s="12"/>
      <c r="B4" s="10"/>
      <c r="C4" s="12"/>
      <c r="D4" s="12"/>
      <c r="E4" s="12"/>
      <c r="F4" s="14"/>
      <c r="G4" s="14"/>
      <c r="H4" s="12"/>
      <c r="I4" s="12"/>
    </row>
    <row r="5" spans="1:11" x14ac:dyDescent="0.25">
      <c r="A5" s="12" t="s">
        <v>1</v>
      </c>
      <c r="B5" s="30">
        <v>7000000</v>
      </c>
      <c r="C5" s="12"/>
      <c r="D5" s="12"/>
      <c r="E5" s="12"/>
      <c r="F5" s="14"/>
      <c r="G5" s="14"/>
      <c r="H5" s="12"/>
      <c r="I5" s="12"/>
    </row>
    <row r="6" spans="1:11" x14ac:dyDescent="0.25">
      <c r="A6" s="12" t="s">
        <v>2</v>
      </c>
      <c r="B6" s="30">
        <f>+I35*1.035</f>
        <v>33533999.999999996</v>
      </c>
      <c r="C6" s="12"/>
      <c r="D6" s="12" t="s">
        <v>110</v>
      </c>
      <c r="E6" s="12"/>
      <c r="F6" s="14"/>
      <c r="G6" s="14"/>
      <c r="H6" s="12"/>
      <c r="I6" s="12"/>
    </row>
    <row r="7" spans="1:11" x14ac:dyDescent="0.25">
      <c r="A7" s="12"/>
      <c r="B7" s="18"/>
      <c r="C7" s="12"/>
      <c r="D7" s="12"/>
      <c r="E7" s="12"/>
      <c r="F7" s="14"/>
      <c r="G7" s="14"/>
      <c r="H7" s="12"/>
      <c r="I7" s="12"/>
    </row>
    <row r="8" spans="1:11" x14ac:dyDescent="0.25">
      <c r="A8" s="15" t="s">
        <v>3</v>
      </c>
      <c r="B8" s="28">
        <f>SUM(B5:B7)</f>
        <v>40534000</v>
      </c>
      <c r="C8" s="12"/>
      <c r="D8" s="15" t="s">
        <v>64</v>
      </c>
      <c r="E8" s="12"/>
      <c r="F8" s="14"/>
      <c r="G8" s="10"/>
      <c r="H8" s="12"/>
      <c r="I8" s="19" t="s">
        <v>66</v>
      </c>
    </row>
    <row r="9" spans="1:11" x14ac:dyDescent="0.25">
      <c r="A9" s="12"/>
      <c r="B9" s="10"/>
      <c r="C9" s="12"/>
      <c r="D9" s="12" t="s">
        <v>15</v>
      </c>
      <c r="E9" s="12"/>
      <c r="F9" s="14"/>
      <c r="G9" s="30">
        <v>0</v>
      </c>
      <c r="H9" s="12"/>
      <c r="I9" s="31">
        <v>0.03</v>
      </c>
    </row>
    <row r="10" spans="1:11" x14ac:dyDescent="0.25">
      <c r="A10" s="12" t="s">
        <v>4</v>
      </c>
      <c r="B10" s="10"/>
      <c r="C10" s="12"/>
      <c r="D10" s="12" t="s">
        <v>62</v>
      </c>
      <c r="E10" s="12"/>
      <c r="F10" s="14"/>
      <c r="G10" s="30">
        <v>4000000</v>
      </c>
      <c r="H10" s="12"/>
      <c r="I10" s="31">
        <v>0.03</v>
      </c>
    </row>
    <row r="11" spans="1:11" s="4" customFormat="1" x14ac:dyDescent="0.25">
      <c r="A11" s="12"/>
      <c r="B11" s="10"/>
      <c r="C11" s="12"/>
      <c r="D11" s="12" t="s">
        <v>113</v>
      </c>
      <c r="E11" s="12"/>
      <c r="F11" s="14"/>
      <c r="G11" s="30">
        <v>0</v>
      </c>
      <c r="H11" s="12"/>
      <c r="I11" s="31">
        <v>0</v>
      </c>
      <c r="K11" s="25"/>
    </row>
    <row r="12" spans="1:11" s="4" customFormat="1" x14ac:dyDescent="0.25">
      <c r="A12" s="12"/>
      <c r="B12" s="10"/>
      <c r="C12" s="12"/>
      <c r="D12" s="12" t="s">
        <v>114</v>
      </c>
      <c r="E12" s="12"/>
      <c r="F12" s="14"/>
      <c r="G12" s="30">
        <v>0</v>
      </c>
      <c r="H12" s="12"/>
      <c r="I12" s="31">
        <v>0.01</v>
      </c>
      <c r="K12" s="25"/>
    </row>
    <row r="13" spans="1:11" x14ac:dyDescent="0.25">
      <c r="A13" s="12"/>
      <c r="B13" s="10"/>
      <c r="C13" s="12"/>
      <c r="D13" s="12" t="s">
        <v>86</v>
      </c>
      <c r="E13" s="12"/>
      <c r="F13" s="14"/>
      <c r="G13" s="30">
        <v>7000000</v>
      </c>
      <c r="H13" s="12"/>
      <c r="I13" s="31">
        <v>0</v>
      </c>
    </row>
    <row r="14" spans="1:11" x14ac:dyDescent="0.25">
      <c r="A14" s="15" t="s">
        <v>109</v>
      </c>
      <c r="B14" s="10"/>
      <c r="C14" s="12"/>
      <c r="D14" s="12" t="s">
        <v>65</v>
      </c>
      <c r="E14" s="12"/>
      <c r="F14" s="14"/>
      <c r="G14" s="10">
        <f>+G15-G9-G11-G12-G10-G13</f>
        <v>29534000</v>
      </c>
      <c r="H14" s="12"/>
      <c r="I14" s="31">
        <v>3.2899999999999999E-2</v>
      </c>
    </row>
    <row r="15" spans="1:11" x14ac:dyDescent="0.25">
      <c r="A15" s="12"/>
      <c r="B15" s="10"/>
      <c r="C15" s="12"/>
      <c r="D15" s="12" t="s">
        <v>11</v>
      </c>
      <c r="E15" s="12"/>
      <c r="F15" s="14"/>
      <c r="G15" s="18">
        <f>+B8</f>
        <v>40534000</v>
      </c>
      <c r="H15" s="12"/>
      <c r="I15" s="12"/>
    </row>
    <row r="16" spans="1:11" x14ac:dyDescent="0.25">
      <c r="A16" s="12" t="s">
        <v>5</v>
      </c>
      <c r="B16" s="10">
        <f>+G24</f>
        <v>3162600</v>
      </c>
      <c r="C16" s="12"/>
      <c r="D16" s="12"/>
      <c r="E16" s="12"/>
      <c r="F16" s="14"/>
      <c r="G16" s="10"/>
      <c r="H16" s="12"/>
      <c r="I16" s="12"/>
    </row>
    <row r="17" spans="1:11" x14ac:dyDescent="0.25">
      <c r="A17" s="12" t="s">
        <v>14</v>
      </c>
      <c r="B17" s="10">
        <f>-G9*I9</f>
        <v>0</v>
      </c>
      <c r="C17" s="12"/>
      <c r="D17" s="12" t="s">
        <v>6</v>
      </c>
      <c r="E17" s="12" t="s">
        <v>8</v>
      </c>
      <c r="F17" s="14" t="s">
        <v>9</v>
      </c>
      <c r="G17" s="10" t="s">
        <v>10</v>
      </c>
      <c r="H17" s="19" t="s">
        <v>99</v>
      </c>
      <c r="I17" s="19" t="s">
        <v>102</v>
      </c>
      <c r="K17" s="27" t="s">
        <v>107</v>
      </c>
    </row>
    <row r="18" spans="1:11" x14ac:dyDescent="0.25">
      <c r="A18" s="12" t="s">
        <v>34</v>
      </c>
      <c r="B18" s="10">
        <f>-B16*0.01</f>
        <v>-31626</v>
      </c>
      <c r="C18" s="12"/>
      <c r="D18" s="12" t="s">
        <v>84</v>
      </c>
      <c r="E18" s="30">
        <v>0</v>
      </c>
      <c r="F18" s="30">
        <v>1295</v>
      </c>
      <c r="G18" s="10">
        <f>+E18*F18*12</f>
        <v>0</v>
      </c>
      <c r="H18" s="30">
        <v>425</v>
      </c>
      <c r="I18" s="10">
        <f>+H18*E18</f>
        <v>0</v>
      </c>
      <c r="K18" s="25">
        <f>+F18/H18</f>
        <v>3.0470588235294116</v>
      </c>
    </row>
    <row r="19" spans="1:11" x14ac:dyDescent="0.25">
      <c r="A19" s="12" t="s">
        <v>35</v>
      </c>
      <c r="B19" s="30">
        <v>20000</v>
      </c>
      <c r="C19" s="12"/>
      <c r="D19" s="12" t="s">
        <v>112</v>
      </c>
      <c r="E19" s="30">
        <v>24</v>
      </c>
      <c r="F19" s="30">
        <v>1525</v>
      </c>
      <c r="G19" s="10">
        <f t="shared" ref="G19:G23" si="0">+E19*F19*12</f>
        <v>439200</v>
      </c>
      <c r="H19" s="30">
        <v>550</v>
      </c>
      <c r="I19" s="10">
        <f t="shared" ref="I19:I23" si="1">+H19*E19</f>
        <v>13200</v>
      </c>
      <c r="K19" s="25">
        <f t="shared" ref="K19:K23" si="2">+F19/H19</f>
        <v>2.7727272727272729</v>
      </c>
    </row>
    <row r="20" spans="1:11" x14ac:dyDescent="0.25">
      <c r="A20" s="12" t="s">
        <v>13</v>
      </c>
      <c r="B20" s="10">
        <f>+G26</f>
        <v>43200</v>
      </c>
      <c r="C20" s="12"/>
      <c r="D20" s="12" t="s">
        <v>111</v>
      </c>
      <c r="E20" s="30">
        <v>32</v>
      </c>
      <c r="F20" s="30">
        <v>2400</v>
      </c>
      <c r="G20" s="10">
        <f t="shared" si="0"/>
        <v>921600</v>
      </c>
      <c r="H20" s="30">
        <v>800</v>
      </c>
      <c r="I20" s="10">
        <f t="shared" si="1"/>
        <v>25600</v>
      </c>
      <c r="K20" s="25">
        <f t="shared" si="2"/>
        <v>3</v>
      </c>
    </row>
    <row r="21" spans="1:11" x14ac:dyDescent="0.25">
      <c r="A21" s="12" t="s">
        <v>125</v>
      </c>
      <c r="B21" s="10">
        <f>+G27</f>
        <v>202500</v>
      </c>
      <c r="C21" s="12"/>
      <c r="D21" s="12"/>
      <c r="E21" s="9"/>
      <c r="F21" s="7"/>
      <c r="G21" s="10"/>
      <c r="H21" s="21"/>
      <c r="I21" s="12"/>
    </row>
    <row r="22" spans="1:11" x14ac:dyDescent="0.25">
      <c r="A22" s="12"/>
      <c r="B22" s="18"/>
      <c r="C22" s="12"/>
      <c r="D22" s="12" t="s">
        <v>7</v>
      </c>
      <c r="E22" s="30">
        <v>31</v>
      </c>
      <c r="F22" s="30">
        <v>3150</v>
      </c>
      <c r="G22" s="10">
        <f t="shared" si="0"/>
        <v>1171800</v>
      </c>
      <c r="H22" s="30">
        <v>1100</v>
      </c>
      <c r="I22" s="10">
        <f t="shared" si="1"/>
        <v>34100</v>
      </c>
      <c r="K22" s="25">
        <f t="shared" si="2"/>
        <v>2.8636363636363638</v>
      </c>
    </row>
    <row r="23" spans="1:11" x14ac:dyDescent="0.25">
      <c r="A23" s="12" t="s">
        <v>10</v>
      </c>
      <c r="B23" s="10">
        <f>SUM(B16:B22)</f>
        <v>3396674</v>
      </c>
      <c r="C23" s="12"/>
      <c r="D23" s="12" t="s">
        <v>85</v>
      </c>
      <c r="E23" s="30">
        <v>15</v>
      </c>
      <c r="F23" s="30">
        <v>3500</v>
      </c>
      <c r="G23" s="10">
        <f t="shared" si="0"/>
        <v>630000</v>
      </c>
      <c r="H23" s="30">
        <v>1300</v>
      </c>
      <c r="I23" s="11">
        <f t="shared" si="1"/>
        <v>19500</v>
      </c>
      <c r="K23" s="25">
        <f t="shared" si="2"/>
        <v>2.6923076923076925</v>
      </c>
    </row>
    <row r="24" spans="1:11" x14ac:dyDescent="0.25">
      <c r="A24" s="12"/>
      <c r="B24" s="10"/>
      <c r="C24" s="12"/>
      <c r="D24" s="12"/>
      <c r="E24" s="18">
        <f>SUM(E18:E23)</f>
        <v>102</v>
      </c>
      <c r="F24" s="14" t="s">
        <v>11</v>
      </c>
      <c r="G24" s="18">
        <f>SUM(G18:G23)</f>
        <v>3162600</v>
      </c>
      <c r="H24" s="12"/>
      <c r="I24" s="18">
        <f>SUM(I18:I23)</f>
        <v>92400</v>
      </c>
    </row>
    <row r="25" spans="1:11" x14ac:dyDescent="0.25">
      <c r="A25" s="12" t="s">
        <v>16</v>
      </c>
      <c r="B25" s="10"/>
      <c r="C25" s="12"/>
      <c r="D25" s="12"/>
      <c r="E25" s="12"/>
      <c r="F25" s="14"/>
      <c r="G25" s="10"/>
      <c r="H25" s="12"/>
      <c r="I25" s="12"/>
    </row>
    <row r="26" spans="1:11" x14ac:dyDescent="0.25">
      <c r="A26" s="12" t="s">
        <v>17</v>
      </c>
      <c r="B26" s="10">
        <f>+Assumptions!D3</f>
        <v>0</v>
      </c>
      <c r="C26" s="12"/>
      <c r="D26" s="12" t="s">
        <v>12</v>
      </c>
      <c r="E26" s="12">
        <v>60</v>
      </c>
      <c r="F26" s="30">
        <v>60</v>
      </c>
      <c r="G26" s="10">
        <f>+F26*E26*12</f>
        <v>43200</v>
      </c>
      <c r="H26" s="12"/>
      <c r="I26" s="12"/>
    </row>
    <row r="27" spans="1:11" x14ac:dyDescent="0.25">
      <c r="A27" s="12" t="s">
        <v>18</v>
      </c>
      <c r="B27" s="10">
        <f>+Assumptions!D13</f>
        <v>550000</v>
      </c>
      <c r="C27" s="12"/>
      <c r="D27" s="12" t="s">
        <v>89</v>
      </c>
      <c r="E27" s="12">
        <f>+Assumptions!E10*7.5</f>
        <v>22.5</v>
      </c>
      <c r="F27" s="30">
        <v>750</v>
      </c>
      <c r="G27" s="10">
        <f>+F27*E27*12</f>
        <v>202500</v>
      </c>
      <c r="H27" s="12"/>
      <c r="I27" s="12"/>
    </row>
    <row r="28" spans="1:11" x14ac:dyDescent="0.25">
      <c r="A28" s="12" t="s">
        <v>19</v>
      </c>
      <c r="B28" s="10">
        <f>+Assumptions!D15</f>
        <v>0</v>
      </c>
      <c r="C28" s="12"/>
      <c r="D28" s="12"/>
      <c r="E28" s="12"/>
      <c r="F28" s="14"/>
      <c r="G28" s="10"/>
      <c r="H28" s="12"/>
      <c r="I28" s="12"/>
    </row>
    <row r="29" spans="1:11" x14ac:dyDescent="0.25">
      <c r="A29" s="12" t="s">
        <v>20</v>
      </c>
      <c r="B29" s="10">
        <f>+Assumptions!D26</f>
        <v>190305.44999999998</v>
      </c>
      <c r="C29" s="12"/>
      <c r="D29" s="15"/>
      <c r="E29" s="12"/>
      <c r="F29" s="14"/>
      <c r="G29" s="10"/>
      <c r="H29" s="12"/>
      <c r="I29" s="12"/>
    </row>
    <row r="30" spans="1:11" x14ac:dyDescent="0.25">
      <c r="A30" s="12" t="s">
        <v>21</v>
      </c>
      <c r="B30" s="10">
        <f>+Assumptions!D28</f>
        <v>41917.499999999993</v>
      </c>
      <c r="C30" s="12"/>
      <c r="D30" s="12"/>
      <c r="E30" s="12"/>
      <c r="F30" s="14"/>
      <c r="G30" s="10"/>
      <c r="H30" s="12"/>
      <c r="I30" s="12"/>
    </row>
    <row r="31" spans="1:11" x14ac:dyDescent="0.25">
      <c r="A31" s="12" t="s">
        <v>22</v>
      </c>
      <c r="B31" s="10">
        <f>+Assumptions!D30</f>
        <v>83834.999999999985</v>
      </c>
      <c r="C31" s="12"/>
      <c r="D31" s="12"/>
      <c r="E31" s="12"/>
      <c r="F31" s="20"/>
      <c r="G31" s="10"/>
      <c r="H31" s="12"/>
      <c r="I31" s="12"/>
    </row>
    <row r="32" spans="1:11" x14ac:dyDescent="0.25">
      <c r="A32" s="12" t="s">
        <v>23</v>
      </c>
      <c r="B32" s="10">
        <f>+Assumptions!D18</f>
        <v>33534</v>
      </c>
      <c r="C32" s="12"/>
      <c r="D32" s="12"/>
      <c r="E32" s="12"/>
      <c r="F32" s="14"/>
      <c r="G32" s="10"/>
      <c r="H32" s="12"/>
      <c r="I32" s="19" t="s">
        <v>102</v>
      </c>
    </row>
    <row r="33" spans="1:11" s="4" customFormat="1" x14ac:dyDescent="0.25">
      <c r="A33" s="12" t="s">
        <v>88</v>
      </c>
      <c r="B33" s="10">
        <f>+Assumptions!D38</f>
        <v>100000.00000499999</v>
      </c>
      <c r="C33" s="12"/>
      <c r="D33" s="12" t="s">
        <v>100</v>
      </c>
      <c r="E33" s="12"/>
      <c r="F33" s="29">
        <f>+(I33-I24)/I33</f>
        <v>0.31555555555555553</v>
      </c>
      <c r="G33" s="10"/>
      <c r="H33" s="12"/>
      <c r="I33" s="30">
        <v>135000</v>
      </c>
      <c r="K33" s="25"/>
    </row>
    <row r="34" spans="1:11" x14ac:dyDescent="0.25">
      <c r="A34" s="12" t="s">
        <v>24</v>
      </c>
      <c r="B34" s="10">
        <f>+Mortgage!C35</f>
        <v>774526.97534022236</v>
      </c>
      <c r="C34" s="12"/>
      <c r="D34" s="12"/>
      <c r="E34" s="12"/>
      <c r="F34" s="22"/>
      <c r="G34" s="10"/>
      <c r="H34" s="12"/>
      <c r="I34" s="12"/>
    </row>
    <row r="35" spans="1:11" s="4" customFormat="1" x14ac:dyDescent="0.25">
      <c r="A35" s="12" t="s">
        <v>25</v>
      </c>
      <c r="B35" s="10">
        <f>+Mortgage!B35</f>
        <v>960058.66028302431</v>
      </c>
      <c r="C35" s="12"/>
      <c r="D35" s="12" t="s">
        <v>101</v>
      </c>
      <c r="E35" s="12"/>
      <c r="F35" s="30">
        <v>240</v>
      </c>
      <c r="G35" s="10"/>
      <c r="H35" s="12"/>
      <c r="I35" s="10">
        <f>+I33*F35</f>
        <v>32400000</v>
      </c>
      <c r="K35" s="25"/>
    </row>
    <row r="36" spans="1:11" x14ac:dyDescent="0.25">
      <c r="A36" s="12" t="s">
        <v>116</v>
      </c>
      <c r="B36" s="10">
        <f>+Mortgage!H35</f>
        <v>0</v>
      </c>
      <c r="C36" s="12"/>
      <c r="D36" s="12"/>
      <c r="E36" s="12"/>
      <c r="F36" s="14"/>
      <c r="G36" s="10"/>
      <c r="H36" s="12"/>
      <c r="I36" s="12"/>
    </row>
    <row r="37" spans="1:11" x14ac:dyDescent="0.25">
      <c r="A37" s="12" t="s">
        <v>117</v>
      </c>
      <c r="B37" s="10">
        <f>+Mortgage!G35</f>
        <v>0</v>
      </c>
      <c r="C37" s="12"/>
      <c r="D37" s="15" t="s">
        <v>103</v>
      </c>
      <c r="E37" s="12"/>
      <c r="F37" s="14"/>
      <c r="G37" s="14"/>
      <c r="H37" s="12"/>
      <c r="I37" s="12"/>
    </row>
    <row r="38" spans="1:11" x14ac:dyDescent="0.25">
      <c r="A38" s="12" t="s">
        <v>63</v>
      </c>
      <c r="B38" s="10">
        <f>+Mortgage!B7*I10</f>
        <v>120000</v>
      </c>
      <c r="C38" s="12"/>
      <c r="D38" s="12"/>
      <c r="E38" s="12"/>
      <c r="F38" s="14"/>
      <c r="G38" s="14"/>
      <c r="H38" s="12"/>
      <c r="I38" s="12"/>
    </row>
    <row r="39" spans="1:11" x14ac:dyDescent="0.25">
      <c r="A39" s="12" t="s">
        <v>27</v>
      </c>
      <c r="B39" s="10">
        <f>+Assumptions!D32</f>
        <v>8383.5</v>
      </c>
      <c r="C39" s="12"/>
      <c r="D39" s="12" t="s">
        <v>104</v>
      </c>
      <c r="E39" s="12"/>
      <c r="F39" s="14"/>
      <c r="G39" s="10">
        <f>+B54</f>
        <v>17580.889711975688</v>
      </c>
      <c r="H39" s="12"/>
      <c r="I39" s="12"/>
    </row>
    <row r="40" spans="1:11" x14ac:dyDescent="0.25">
      <c r="A40" s="12" t="s">
        <v>28</v>
      </c>
      <c r="B40" s="10">
        <f>+Assumptions!D34</f>
        <v>0</v>
      </c>
      <c r="C40" s="12"/>
      <c r="D40" s="12" t="s">
        <v>44</v>
      </c>
      <c r="E40" s="12"/>
      <c r="F40" s="14"/>
      <c r="G40" s="10">
        <f>+B35+B37+B38</f>
        <v>1080058.6602830244</v>
      </c>
      <c r="H40" s="12"/>
      <c r="I40" s="12"/>
    </row>
    <row r="41" spans="1:11" x14ac:dyDescent="0.25">
      <c r="A41" s="12" t="s">
        <v>30</v>
      </c>
      <c r="B41" s="10">
        <f>+Assumptions!D36</f>
        <v>33534</v>
      </c>
      <c r="C41" s="12"/>
      <c r="D41" s="12" t="s">
        <v>26</v>
      </c>
      <c r="E41" s="12"/>
      <c r="F41" s="14"/>
      <c r="G41" s="10">
        <f>-B50</f>
        <v>1341359.9999999998</v>
      </c>
      <c r="H41" s="12"/>
      <c r="I41" s="12"/>
    </row>
    <row r="42" spans="1:11" x14ac:dyDescent="0.25">
      <c r="A42" s="12"/>
      <c r="B42" s="18"/>
      <c r="C42" s="12"/>
      <c r="D42" s="12"/>
      <c r="E42" s="12"/>
      <c r="F42" s="14"/>
      <c r="G42" s="10"/>
      <c r="H42" s="12"/>
      <c r="I42" s="12"/>
    </row>
    <row r="43" spans="1:11" x14ac:dyDescent="0.25">
      <c r="A43" s="12" t="s">
        <v>29</v>
      </c>
      <c r="B43" s="10">
        <f>SUM(B26:B41)</f>
        <v>2896095.0856282469</v>
      </c>
      <c r="C43" s="12"/>
      <c r="D43" s="12" t="s">
        <v>105</v>
      </c>
      <c r="E43" s="12"/>
      <c r="F43" s="14"/>
      <c r="G43" s="10">
        <f>SUM(G39:G42)</f>
        <v>2438999.5499949995</v>
      </c>
      <c r="H43" s="12"/>
      <c r="I43" s="12"/>
    </row>
    <row r="44" spans="1:11" x14ac:dyDescent="0.25">
      <c r="A44" s="12"/>
      <c r="B44" s="10"/>
      <c r="C44" s="12"/>
      <c r="D44" s="12" t="s">
        <v>106</v>
      </c>
      <c r="E44" s="12"/>
      <c r="F44" s="14"/>
      <c r="G44" s="10">
        <f>SUM(B34:B38)</f>
        <v>1854585.6356232467</v>
      </c>
      <c r="H44" s="12"/>
      <c r="I44" s="12"/>
    </row>
    <row r="45" spans="1:11" x14ac:dyDescent="0.25">
      <c r="A45" s="15" t="s">
        <v>31</v>
      </c>
      <c r="B45" s="28">
        <f>+B23-B43</f>
        <v>500578.91437175311</v>
      </c>
      <c r="C45" s="12"/>
      <c r="D45" s="12"/>
      <c r="E45" s="12"/>
      <c r="F45" s="14"/>
      <c r="G45" s="14"/>
      <c r="H45" s="12"/>
      <c r="I45" s="12"/>
    </row>
    <row r="46" spans="1:11" x14ac:dyDescent="0.25">
      <c r="A46" s="12"/>
      <c r="B46" s="10"/>
      <c r="C46" s="12"/>
      <c r="D46" s="15" t="s">
        <v>108</v>
      </c>
      <c r="E46" s="15"/>
      <c r="F46" s="17"/>
      <c r="G46" s="17">
        <f>+G43/G44</f>
        <v>1.3151183224684884</v>
      </c>
      <c r="H46" s="12"/>
      <c r="I46" s="12"/>
    </row>
    <row r="47" spans="1:11" x14ac:dyDescent="0.25">
      <c r="A47" s="12"/>
      <c r="B47" s="10"/>
      <c r="C47" s="12"/>
      <c r="D47" s="12"/>
      <c r="E47" s="12"/>
      <c r="F47" s="14"/>
      <c r="G47" s="14"/>
      <c r="H47" s="12"/>
      <c r="I47" s="12"/>
    </row>
    <row r="48" spans="1:11" x14ac:dyDescent="0.25">
      <c r="A48" s="12" t="s">
        <v>32</v>
      </c>
      <c r="B48" s="10"/>
      <c r="C48" s="12"/>
      <c r="D48" s="12"/>
      <c r="E48" s="12"/>
      <c r="F48" s="14"/>
      <c r="G48" s="14"/>
      <c r="H48" s="12"/>
      <c r="I48" s="12"/>
    </row>
    <row r="49" spans="1:9" x14ac:dyDescent="0.25">
      <c r="A49" s="12"/>
      <c r="B49" s="10"/>
      <c r="C49" s="12"/>
      <c r="D49" s="12"/>
      <c r="E49" s="12"/>
      <c r="F49" s="14"/>
      <c r="G49" s="14"/>
      <c r="H49" s="12"/>
      <c r="I49" s="12"/>
    </row>
    <row r="50" spans="1:9" x14ac:dyDescent="0.25">
      <c r="A50" s="12" t="s">
        <v>26</v>
      </c>
      <c r="B50" s="10">
        <f>-B6*0.04</f>
        <v>-1341359.9999999998</v>
      </c>
      <c r="C50" s="12"/>
      <c r="D50" s="12"/>
      <c r="E50" s="12"/>
      <c r="F50" s="14"/>
      <c r="G50" s="14"/>
      <c r="H50" s="12"/>
      <c r="I50" s="12"/>
    </row>
    <row r="51" spans="1:9" x14ac:dyDescent="0.25">
      <c r="A51" s="12" t="s">
        <v>24</v>
      </c>
      <c r="B51" s="10">
        <f>+B34</f>
        <v>774526.97534022236</v>
      </c>
      <c r="C51" s="12"/>
      <c r="D51" s="12"/>
      <c r="E51" s="12"/>
      <c r="F51" s="14"/>
      <c r="G51" s="14"/>
      <c r="H51" s="12"/>
      <c r="I51" s="12"/>
    </row>
    <row r="52" spans="1:9" x14ac:dyDescent="0.25">
      <c r="A52" s="12" t="s">
        <v>22</v>
      </c>
      <c r="B52" s="10">
        <f>+B31</f>
        <v>83834.999999999985</v>
      </c>
      <c r="C52" s="12"/>
      <c r="D52" s="12"/>
      <c r="E52" s="12"/>
      <c r="F52" s="14"/>
      <c r="G52" s="14"/>
      <c r="H52" s="12"/>
      <c r="I52" s="12"/>
    </row>
    <row r="53" spans="1:9" x14ac:dyDescent="0.25">
      <c r="A53" s="12"/>
      <c r="B53" s="10"/>
      <c r="C53" s="12"/>
      <c r="D53" s="12"/>
      <c r="E53" s="12"/>
      <c r="F53" s="14"/>
      <c r="G53" s="14"/>
      <c r="H53" s="12"/>
      <c r="I53" s="12"/>
    </row>
    <row r="54" spans="1:9" x14ac:dyDescent="0.25">
      <c r="A54" s="15" t="s">
        <v>33</v>
      </c>
      <c r="B54" s="28">
        <f>SUM(B45:B52)</f>
        <v>17580.889711975688</v>
      </c>
    </row>
    <row r="55" spans="1:9" x14ac:dyDescent="0.25">
      <c r="A55" s="12"/>
      <c r="B55" s="10"/>
    </row>
  </sheetData>
  <pageMargins left="0.7" right="0.7" top="0.75" bottom="0.75" header="0.3" footer="0.3"/>
  <pageSetup scale="68" orientation="portrait" r:id="rId1"/>
  <ignoredErrors>
    <ignoredError sqref="B2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8"/>
  <sheetViews>
    <sheetView topLeftCell="A19" workbookViewId="0">
      <selection activeCell="B15" sqref="B15"/>
    </sheetView>
  </sheetViews>
  <sheetFormatPr defaultRowHeight="15" x14ac:dyDescent="0.25"/>
  <cols>
    <col min="1" max="1" width="25.28515625" customWidth="1"/>
    <col min="2" max="4" width="13" customWidth="1"/>
    <col min="6" max="6" width="27.7109375" customWidth="1"/>
    <col min="7" max="7" width="12.85546875" customWidth="1"/>
    <col min="8" max="9" width="13.28515625" customWidth="1"/>
  </cols>
  <sheetData>
    <row r="1" spans="1:9" x14ac:dyDescent="0.25">
      <c r="A1" t="s">
        <v>59</v>
      </c>
    </row>
    <row r="2" spans="1:9" s="4" customFormat="1" x14ac:dyDescent="0.25"/>
    <row r="3" spans="1:9" s="4" customFormat="1" x14ac:dyDescent="0.25">
      <c r="A3" s="4" t="s">
        <v>60</v>
      </c>
      <c r="B3" s="6">
        <f>+Financials!B8</f>
        <v>40534000</v>
      </c>
    </row>
    <row r="4" spans="1:9" s="4" customFormat="1" x14ac:dyDescent="0.25">
      <c r="A4" s="4" t="s">
        <v>15</v>
      </c>
      <c r="B4" s="6">
        <f>+Financials!G9</f>
        <v>0</v>
      </c>
    </row>
    <row r="5" spans="1:9" s="4" customFormat="1" x14ac:dyDescent="0.25">
      <c r="A5" s="4" t="s">
        <v>113</v>
      </c>
      <c r="B5" s="6">
        <f>+Financials!G11</f>
        <v>0</v>
      </c>
    </row>
    <row r="6" spans="1:9" s="4" customFormat="1" x14ac:dyDescent="0.25">
      <c r="A6" s="4" t="s">
        <v>114</v>
      </c>
      <c r="B6" s="6">
        <f>+Financials!G12</f>
        <v>0</v>
      </c>
    </row>
    <row r="7" spans="1:9" s="4" customFormat="1" x14ac:dyDescent="0.25">
      <c r="A7" s="4" t="s">
        <v>62</v>
      </c>
      <c r="B7" s="6">
        <f>+Financials!G10</f>
        <v>4000000</v>
      </c>
    </row>
    <row r="8" spans="1:9" s="4" customFormat="1" x14ac:dyDescent="0.25">
      <c r="A8" s="4" t="s">
        <v>95</v>
      </c>
      <c r="B8" s="6">
        <f>+Financials!G13</f>
        <v>7000000</v>
      </c>
    </row>
    <row r="9" spans="1:9" x14ac:dyDescent="0.25">
      <c r="B9" s="6"/>
    </row>
    <row r="10" spans="1:9" x14ac:dyDescent="0.25">
      <c r="A10" s="4" t="s">
        <v>61</v>
      </c>
      <c r="B10" s="6">
        <f>+B3-SUM(B4:B8)</f>
        <v>29534000</v>
      </c>
      <c r="C10" s="4"/>
      <c r="D10" s="4"/>
      <c r="F10" s="4" t="s">
        <v>115</v>
      </c>
      <c r="G10" s="6">
        <f>+B6</f>
        <v>0</v>
      </c>
      <c r="H10" s="4"/>
      <c r="I10" s="4" t="s">
        <v>126</v>
      </c>
    </row>
    <row r="11" spans="1:9" x14ac:dyDescent="0.25">
      <c r="A11" s="4" t="s">
        <v>36</v>
      </c>
      <c r="B11" s="5">
        <v>3.2899999999999999E-2</v>
      </c>
      <c r="C11" s="4"/>
      <c r="D11" s="4"/>
      <c r="F11" s="4" t="s">
        <v>36</v>
      </c>
      <c r="G11" s="5">
        <f>+Financials!I12</f>
        <v>0.01</v>
      </c>
      <c r="H11" s="4"/>
      <c r="I11" s="4" t="s">
        <v>127</v>
      </c>
    </row>
    <row r="12" spans="1:9" x14ac:dyDescent="0.25">
      <c r="A12" s="4" t="s">
        <v>37</v>
      </c>
      <c r="B12" s="4">
        <v>25</v>
      </c>
      <c r="C12" s="4"/>
      <c r="D12" s="4"/>
      <c r="F12" s="4" t="s">
        <v>37</v>
      </c>
      <c r="G12" s="4">
        <v>25</v>
      </c>
      <c r="H12" s="4"/>
      <c r="I12" s="4"/>
    </row>
    <row r="13" spans="1:9" x14ac:dyDescent="0.25">
      <c r="A13" s="4" t="s">
        <v>38</v>
      </c>
      <c r="B13" s="4">
        <v>12</v>
      </c>
      <c r="C13" s="4"/>
      <c r="D13" s="4"/>
      <c r="F13" s="4" t="s">
        <v>38</v>
      </c>
      <c r="G13" s="4">
        <v>12</v>
      </c>
      <c r="H13" s="4"/>
      <c r="I13" s="4"/>
    </row>
    <row r="14" spans="1:9" x14ac:dyDescent="0.25">
      <c r="A14" s="4" t="s">
        <v>39</v>
      </c>
      <c r="B14" s="4">
        <f>+B12*B13</f>
        <v>300</v>
      </c>
      <c r="C14" s="4"/>
      <c r="D14" s="4"/>
      <c r="F14" s="4" t="s">
        <v>39</v>
      </c>
      <c r="G14" s="4">
        <f>+G12*G13</f>
        <v>300</v>
      </c>
      <c r="H14" s="4"/>
      <c r="I14" s="4"/>
    </row>
    <row r="15" spans="1:9" x14ac:dyDescent="0.25">
      <c r="A15" s="4" t="s">
        <v>40</v>
      </c>
      <c r="B15" s="6">
        <f>-PMT(B11/B13,B14,B10,0)</f>
        <v>144548.80296860388</v>
      </c>
      <c r="C15" s="4"/>
      <c r="D15" s="4"/>
      <c r="F15" s="4" t="s">
        <v>40</v>
      </c>
      <c r="G15" s="6">
        <f>-PMT(G11/G13,G14,G10,0)</f>
        <v>0</v>
      </c>
      <c r="H15" s="4"/>
      <c r="I15" s="4"/>
    </row>
    <row r="16" spans="1:9" x14ac:dyDescent="0.25">
      <c r="A16" s="4" t="s">
        <v>41</v>
      </c>
      <c r="B16" s="6">
        <f>+B15*12</f>
        <v>1734585.6356232464</v>
      </c>
      <c r="C16" s="4"/>
      <c r="D16" s="4"/>
      <c r="F16" s="4" t="s">
        <v>41</v>
      </c>
      <c r="G16" s="6">
        <f>+G15*12</f>
        <v>0</v>
      </c>
      <c r="H16" s="4"/>
      <c r="I16" s="4"/>
    </row>
    <row r="17" spans="1:9" x14ac:dyDescent="0.25">
      <c r="A17" s="4" t="s">
        <v>42</v>
      </c>
      <c r="B17" s="6">
        <f>+B16*B12</f>
        <v>43364640.890581161</v>
      </c>
      <c r="C17" s="4"/>
      <c r="D17" s="4"/>
      <c r="F17" s="4" t="s">
        <v>42</v>
      </c>
      <c r="G17" s="6">
        <f>+G16*G12</f>
        <v>0</v>
      </c>
      <c r="H17" s="4"/>
      <c r="I17" s="4"/>
    </row>
    <row r="18" spans="1:9" x14ac:dyDescent="0.25">
      <c r="A18" s="4" t="s">
        <v>43</v>
      </c>
      <c r="B18" s="6">
        <f>+B17-B10</f>
        <v>13830640.890581161</v>
      </c>
      <c r="C18" s="4"/>
      <c r="D18" s="4"/>
      <c r="F18" s="4" t="s">
        <v>43</v>
      </c>
      <c r="G18" s="6">
        <f>+G17-G10</f>
        <v>0</v>
      </c>
      <c r="H18" s="4"/>
      <c r="I18" s="4"/>
    </row>
    <row r="19" spans="1:9" x14ac:dyDescent="0.25">
      <c r="F19" s="4"/>
      <c r="G19" s="4"/>
      <c r="H19" s="4"/>
      <c r="I19" s="4"/>
    </row>
    <row r="20" spans="1:9" x14ac:dyDescent="0.25">
      <c r="F20" s="4"/>
      <c r="G20" s="4"/>
      <c r="H20" s="4"/>
      <c r="I20" s="4"/>
    </row>
    <row r="21" spans="1:9" x14ac:dyDescent="0.25">
      <c r="A21" s="4"/>
      <c r="B21" s="6" t="s">
        <v>44</v>
      </c>
      <c r="C21" s="6" t="s">
        <v>45</v>
      </c>
      <c r="D21" s="6" t="s">
        <v>46</v>
      </c>
      <c r="F21" s="4"/>
      <c r="G21" s="6" t="s">
        <v>44</v>
      </c>
      <c r="H21" s="6" t="s">
        <v>45</v>
      </c>
      <c r="I21" s="6" t="s">
        <v>46</v>
      </c>
    </row>
    <row r="22" spans="1:9" x14ac:dyDescent="0.25">
      <c r="A22" s="4" t="s">
        <v>47</v>
      </c>
      <c r="B22" s="6">
        <f>+B10*B11/12</f>
        <v>80972.383333333331</v>
      </c>
      <c r="C22" s="6">
        <f>+$B$15-B22</f>
        <v>63576.419635270548</v>
      </c>
      <c r="D22" s="6">
        <f>+B10-C22</f>
        <v>29470423.58036473</v>
      </c>
      <c r="F22" s="4" t="s">
        <v>47</v>
      </c>
      <c r="G22" s="6">
        <f>+G10*G11/12</f>
        <v>0</v>
      </c>
      <c r="H22" s="6">
        <f>+$G$15-G22</f>
        <v>0</v>
      </c>
      <c r="I22" s="6">
        <f>+G10-H22</f>
        <v>0</v>
      </c>
    </row>
    <row r="23" spans="1:9" x14ac:dyDescent="0.25">
      <c r="A23" s="4" t="s">
        <v>48</v>
      </c>
      <c r="B23" s="6">
        <f>+D22*$B$11/12</f>
        <v>80798.077982833303</v>
      </c>
      <c r="C23" s="6">
        <f>+$B$15-B23</f>
        <v>63750.724985770576</v>
      </c>
      <c r="D23" s="6">
        <f>+D22-C23</f>
        <v>29406672.855378959</v>
      </c>
      <c r="F23" s="4" t="s">
        <v>48</v>
      </c>
      <c r="G23" s="6">
        <f>+I22*$G$11/12</f>
        <v>0</v>
      </c>
      <c r="H23" s="6">
        <f t="shared" ref="H23:H33" si="0">+$G$15-G23</f>
        <v>0</v>
      </c>
      <c r="I23" s="6">
        <f>+I22-H23</f>
        <v>0</v>
      </c>
    </row>
    <row r="24" spans="1:9" x14ac:dyDescent="0.25">
      <c r="A24" s="4" t="s">
        <v>49</v>
      </c>
      <c r="B24" s="6">
        <f t="shared" ref="B24:B33" si="1">+D23*$B$11/12</f>
        <v>80623.294745163977</v>
      </c>
      <c r="C24" s="6">
        <f t="shared" ref="C24:C33" si="2">+$B$15-B24</f>
        <v>63925.508223439901</v>
      </c>
      <c r="D24" s="6">
        <f t="shared" ref="D24:D33" si="3">+D23-C24</f>
        <v>29342747.347155519</v>
      </c>
      <c r="F24" s="4" t="s">
        <v>49</v>
      </c>
      <c r="G24" s="6">
        <f t="shared" ref="G24:G33" si="4">+I23*$G$11/12</f>
        <v>0</v>
      </c>
      <c r="H24" s="6">
        <f t="shared" si="0"/>
        <v>0</v>
      </c>
      <c r="I24" s="6">
        <f t="shared" ref="I24:I33" si="5">+I23-H24</f>
        <v>0</v>
      </c>
    </row>
    <row r="25" spans="1:9" x14ac:dyDescent="0.25">
      <c r="A25" s="4" t="s">
        <v>50</v>
      </c>
      <c r="B25" s="6">
        <f t="shared" si="1"/>
        <v>80448.03231011804</v>
      </c>
      <c r="C25" s="6">
        <f t="shared" si="2"/>
        <v>64100.770658485839</v>
      </c>
      <c r="D25" s="6">
        <f t="shared" si="3"/>
        <v>29278646.576497033</v>
      </c>
      <c r="F25" s="4" t="s">
        <v>50</v>
      </c>
      <c r="G25" s="6">
        <f t="shared" si="4"/>
        <v>0</v>
      </c>
      <c r="H25" s="6">
        <f t="shared" si="0"/>
        <v>0</v>
      </c>
      <c r="I25" s="6">
        <f t="shared" si="5"/>
        <v>0</v>
      </c>
    </row>
    <row r="26" spans="1:9" x14ac:dyDescent="0.25">
      <c r="A26" s="4" t="s">
        <v>51</v>
      </c>
      <c r="B26" s="6">
        <f t="shared" si="1"/>
        <v>80272.289363896023</v>
      </c>
      <c r="C26" s="6">
        <f t="shared" si="2"/>
        <v>64276.513604707856</v>
      </c>
      <c r="D26" s="6">
        <f t="shared" si="3"/>
        <v>29214370.062892325</v>
      </c>
      <c r="F26" s="4" t="s">
        <v>51</v>
      </c>
      <c r="G26" s="6">
        <f t="shared" si="4"/>
        <v>0</v>
      </c>
      <c r="H26" s="6">
        <f t="shared" si="0"/>
        <v>0</v>
      </c>
      <c r="I26" s="6">
        <f t="shared" si="5"/>
        <v>0</v>
      </c>
    </row>
    <row r="27" spans="1:9" x14ac:dyDescent="0.25">
      <c r="A27" s="4" t="s">
        <v>52</v>
      </c>
      <c r="B27" s="6">
        <f t="shared" si="1"/>
        <v>80096.064589096452</v>
      </c>
      <c r="C27" s="6">
        <f t="shared" si="2"/>
        <v>64452.738379507427</v>
      </c>
      <c r="D27" s="6">
        <f t="shared" si="3"/>
        <v>29149917.324512817</v>
      </c>
      <c r="F27" s="4" t="s">
        <v>52</v>
      </c>
      <c r="G27" s="6">
        <f t="shared" si="4"/>
        <v>0</v>
      </c>
      <c r="H27" s="6">
        <f t="shared" si="0"/>
        <v>0</v>
      </c>
      <c r="I27" s="6">
        <f t="shared" si="5"/>
        <v>0</v>
      </c>
    </row>
    <row r="28" spans="1:9" x14ac:dyDescent="0.25">
      <c r="A28" s="4" t="s">
        <v>53</v>
      </c>
      <c r="B28" s="6">
        <f t="shared" si="1"/>
        <v>79919.356664705978</v>
      </c>
      <c r="C28" s="6">
        <f t="shared" si="2"/>
        <v>64629.446303897901</v>
      </c>
      <c r="D28" s="6">
        <f t="shared" si="3"/>
        <v>29085287.87820892</v>
      </c>
      <c r="F28" s="4" t="s">
        <v>53</v>
      </c>
      <c r="G28" s="6">
        <f t="shared" si="4"/>
        <v>0</v>
      </c>
      <c r="H28" s="6">
        <f t="shared" si="0"/>
        <v>0</v>
      </c>
      <c r="I28" s="6">
        <f t="shared" si="5"/>
        <v>0</v>
      </c>
    </row>
    <row r="29" spans="1:9" x14ac:dyDescent="0.25">
      <c r="A29" s="4" t="s">
        <v>54</v>
      </c>
      <c r="B29" s="6">
        <f t="shared" si="1"/>
        <v>79742.164266089458</v>
      </c>
      <c r="C29" s="6">
        <f t="shared" si="2"/>
        <v>64806.638702514421</v>
      </c>
      <c r="D29" s="6">
        <f t="shared" si="3"/>
        <v>29020481.239506405</v>
      </c>
      <c r="F29" s="4" t="s">
        <v>54</v>
      </c>
      <c r="G29" s="6">
        <f t="shared" si="4"/>
        <v>0</v>
      </c>
      <c r="H29" s="6">
        <f t="shared" si="0"/>
        <v>0</v>
      </c>
      <c r="I29" s="6">
        <f t="shared" si="5"/>
        <v>0</v>
      </c>
    </row>
    <row r="30" spans="1:9" x14ac:dyDescent="0.25">
      <c r="A30" s="4" t="s">
        <v>55</v>
      </c>
      <c r="B30" s="6">
        <f t="shared" si="1"/>
        <v>79564.486064980054</v>
      </c>
      <c r="C30" s="6">
        <f t="shared" si="2"/>
        <v>64984.316903623825</v>
      </c>
      <c r="D30" s="6">
        <f t="shared" si="3"/>
        <v>28955496.92260278</v>
      </c>
      <c r="F30" s="4" t="s">
        <v>55</v>
      </c>
      <c r="G30" s="6">
        <f t="shared" si="4"/>
        <v>0</v>
      </c>
      <c r="H30" s="6">
        <f t="shared" si="0"/>
        <v>0</v>
      </c>
      <c r="I30" s="6">
        <f t="shared" si="5"/>
        <v>0</v>
      </c>
    </row>
    <row r="31" spans="1:9" x14ac:dyDescent="0.25">
      <c r="A31" s="4" t="s">
        <v>56</v>
      </c>
      <c r="B31" s="6">
        <f t="shared" si="1"/>
        <v>79386.320729469284</v>
      </c>
      <c r="C31" s="6">
        <f t="shared" si="2"/>
        <v>65162.482239134595</v>
      </c>
      <c r="D31" s="6">
        <f t="shared" si="3"/>
        <v>28890334.440363646</v>
      </c>
      <c r="F31" s="4" t="s">
        <v>56</v>
      </c>
      <c r="G31" s="6">
        <f t="shared" si="4"/>
        <v>0</v>
      </c>
      <c r="H31" s="6">
        <f t="shared" si="0"/>
        <v>0</v>
      </c>
      <c r="I31" s="6">
        <f t="shared" si="5"/>
        <v>0</v>
      </c>
    </row>
    <row r="32" spans="1:9" x14ac:dyDescent="0.25">
      <c r="A32" s="4" t="s">
        <v>57</v>
      </c>
      <c r="B32" s="6">
        <f t="shared" si="1"/>
        <v>79207.666923996992</v>
      </c>
      <c r="C32" s="6">
        <f t="shared" si="2"/>
        <v>65341.136044606887</v>
      </c>
      <c r="D32" s="6">
        <f t="shared" si="3"/>
        <v>28824993.304319039</v>
      </c>
      <c r="F32" s="4" t="s">
        <v>57</v>
      </c>
      <c r="G32" s="6">
        <f t="shared" si="4"/>
        <v>0</v>
      </c>
      <c r="H32" s="6">
        <f t="shared" si="0"/>
        <v>0</v>
      </c>
      <c r="I32" s="6">
        <f t="shared" si="5"/>
        <v>0</v>
      </c>
    </row>
    <row r="33" spans="1:9" x14ac:dyDescent="0.25">
      <c r="A33" s="4" t="s">
        <v>58</v>
      </c>
      <c r="B33" s="6">
        <f t="shared" si="1"/>
        <v>79028.523309341355</v>
      </c>
      <c r="C33" s="6">
        <f t="shared" si="2"/>
        <v>65520.279659262524</v>
      </c>
      <c r="D33" s="6">
        <f t="shared" si="3"/>
        <v>28759473.024659775</v>
      </c>
      <c r="F33" s="4" t="s">
        <v>58</v>
      </c>
      <c r="G33" s="6">
        <f t="shared" si="4"/>
        <v>0</v>
      </c>
      <c r="H33" s="6">
        <f t="shared" si="0"/>
        <v>0</v>
      </c>
      <c r="I33" s="6">
        <f t="shared" si="5"/>
        <v>0</v>
      </c>
    </row>
    <row r="34" spans="1:9" x14ac:dyDescent="0.25">
      <c r="A34" s="4"/>
      <c r="B34" s="6"/>
      <c r="C34" s="6"/>
      <c r="D34" s="6"/>
      <c r="F34" s="4"/>
      <c r="G34" s="6"/>
      <c r="H34" s="6"/>
      <c r="I34" s="6"/>
    </row>
    <row r="35" spans="1:9" x14ac:dyDescent="0.25">
      <c r="A35" s="4"/>
      <c r="B35" s="6">
        <f>SUM(B22:B34)</f>
        <v>960058.66028302431</v>
      </c>
      <c r="C35" s="6">
        <f>SUM(C22:C34)</f>
        <v>774526.97534022236</v>
      </c>
      <c r="D35" s="6"/>
      <c r="F35" s="4"/>
      <c r="G35" s="6">
        <f>SUM(G22:G34)</f>
        <v>0</v>
      </c>
      <c r="H35" s="6">
        <f>SUM(H22:H34)</f>
        <v>0</v>
      </c>
      <c r="I35" s="6"/>
    </row>
    <row r="36" spans="1:9" x14ac:dyDescent="0.25">
      <c r="A36" s="4"/>
      <c r="B36" s="6"/>
      <c r="C36" s="6"/>
      <c r="D36" s="6"/>
    </row>
    <row r="37" spans="1:9" x14ac:dyDescent="0.25">
      <c r="A37" s="4"/>
      <c r="B37" s="6"/>
      <c r="C37" s="6"/>
      <c r="D37" s="6"/>
    </row>
    <row r="38" spans="1:9" x14ac:dyDescent="0.25">
      <c r="A38" s="4"/>
      <c r="B38" s="6"/>
      <c r="C38" s="6"/>
      <c r="D38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8"/>
  <sheetViews>
    <sheetView workbookViewId="0">
      <selection activeCell="E9" sqref="E9"/>
    </sheetView>
  </sheetViews>
  <sheetFormatPr defaultRowHeight="15" x14ac:dyDescent="0.25"/>
  <cols>
    <col min="1" max="1" width="37.85546875" customWidth="1"/>
    <col min="2" max="2" width="34.85546875" customWidth="1"/>
    <col min="3" max="3" width="14" style="6" customWidth="1"/>
    <col min="4" max="4" width="10.85546875" style="6" customWidth="1"/>
  </cols>
  <sheetData>
    <row r="1" spans="1:6" x14ac:dyDescent="0.25">
      <c r="A1" t="s">
        <v>67</v>
      </c>
      <c r="B1" t="s">
        <v>68</v>
      </c>
      <c r="C1" s="8" t="s">
        <v>69</v>
      </c>
      <c r="D1" s="8" t="s">
        <v>70</v>
      </c>
      <c r="E1" t="s">
        <v>97</v>
      </c>
    </row>
    <row r="3" spans="1:6" x14ac:dyDescent="0.25">
      <c r="A3" t="s">
        <v>118</v>
      </c>
      <c r="B3" t="s">
        <v>119</v>
      </c>
      <c r="C3" s="6">
        <v>0</v>
      </c>
      <c r="D3" s="6">
        <f>+C3*0.5</f>
        <v>0</v>
      </c>
    </row>
    <row r="5" spans="1:6" x14ac:dyDescent="0.25">
      <c r="A5" t="s">
        <v>71</v>
      </c>
      <c r="B5" t="s">
        <v>120</v>
      </c>
      <c r="C5" s="23">
        <v>0</v>
      </c>
      <c r="D5" s="6">
        <f>+C5*E5</f>
        <v>0</v>
      </c>
      <c r="E5" s="24">
        <v>0.5</v>
      </c>
    </row>
    <row r="6" spans="1:6" s="4" customFormat="1" x14ac:dyDescent="0.25">
      <c r="B6" s="4" t="s">
        <v>128</v>
      </c>
      <c r="C6" s="23">
        <v>60000</v>
      </c>
      <c r="D6" s="6">
        <f t="shared" ref="D6:D11" si="0">+C6*E6</f>
        <v>120000</v>
      </c>
      <c r="E6" s="24">
        <v>2</v>
      </c>
    </row>
    <row r="7" spans="1:6" x14ac:dyDescent="0.25">
      <c r="B7" t="s">
        <v>96</v>
      </c>
      <c r="C7" s="23">
        <v>75000</v>
      </c>
      <c r="D7" s="6">
        <f t="shared" si="0"/>
        <v>75000</v>
      </c>
      <c r="E7" s="24">
        <v>1</v>
      </c>
    </row>
    <row r="8" spans="1:6" x14ac:dyDescent="0.25">
      <c r="B8" t="s">
        <v>87</v>
      </c>
      <c r="C8" s="23">
        <v>50000</v>
      </c>
      <c r="D8" s="6">
        <f t="shared" si="0"/>
        <v>100000</v>
      </c>
      <c r="E8" s="24">
        <v>2</v>
      </c>
    </row>
    <row r="9" spans="1:6" x14ac:dyDescent="0.25">
      <c r="B9" t="s">
        <v>129</v>
      </c>
      <c r="C9" s="23">
        <v>65000</v>
      </c>
      <c r="D9" s="6">
        <f t="shared" si="0"/>
        <v>65000</v>
      </c>
      <c r="E9" s="24">
        <v>1</v>
      </c>
    </row>
    <row r="10" spans="1:6" s="4" customFormat="1" x14ac:dyDescent="0.25">
      <c r="B10" s="4" t="s">
        <v>121</v>
      </c>
      <c r="C10" s="23">
        <v>50000</v>
      </c>
      <c r="D10" s="6">
        <f t="shared" si="0"/>
        <v>150000</v>
      </c>
      <c r="E10" s="24">
        <v>3</v>
      </c>
    </row>
    <row r="11" spans="1:6" x14ac:dyDescent="0.25">
      <c r="B11" t="s">
        <v>94</v>
      </c>
      <c r="C11" s="23">
        <v>80000</v>
      </c>
      <c r="D11" s="6">
        <f t="shared" si="0"/>
        <v>40000</v>
      </c>
      <c r="E11" s="24">
        <v>0.5</v>
      </c>
    </row>
    <row r="13" spans="1:6" x14ac:dyDescent="0.25">
      <c r="B13" t="s">
        <v>72</v>
      </c>
      <c r="D13" s="6">
        <f>SUM(D5:D12)</f>
        <v>550000</v>
      </c>
    </row>
    <row r="15" spans="1:6" x14ac:dyDescent="0.25">
      <c r="A15" t="s">
        <v>19</v>
      </c>
      <c r="B15" t="s">
        <v>92</v>
      </c>
      <c r="D15" s="6">
        <v>0</v>
      </c>
      <c r="F15" t="s">
        <v>122</v>
      </c>
    </row>
    <row r="16" spans="1:6" s="4" customFormat="1" x14ac:dyDescent="0.25">
      <c r="C16" s="6"/>
      <c r="D16" s="6"/>
    </row>
    <row r="17" spans="1:6" s="4" customFormat="1" x14ac:dyDescent="0.25">
      <c r="C17" s="6"/>
      <c r="D17" s="6"/>
    </row>
    <row r="18" spans="1:6" s="4" customFormat="1" x14ac:dyDescent="0.25">
      <c r="A18" s="4" t="s">
        <v>23</v>
      </c>
      <c r="B18" s="4" t="s">
        <v>98</v>
      </c>
      <c r="C18" s="6"/>
      <c r="D18" s="6">
        <f>0.001*Financials!B6</f>
        <v>33534</v>
      </c>
    </row>
    <row r="20" spans="1:6" x14ac:dyDescent="0.25">
      <c r="A20" t="s">
        <v>20</v>
      </c>
      <c r="B20" t="s">
        <v>73</v>
      </c>
      <c r="C20" s="6">
        <f>0.0025*Financials!B6</f>
        <v>83834.999999999985</v>
      </c>
      <c r="F20" t="s">
        <v>123</v>
      </c>
    </row>
    <row r="21" spans="1:6" x14ac:dyDescent="0.25">
      <c r="B21" t="s">
        <v>74</v>
      </c>
      <c r="C21" s="6">
        <f>+C20*0.4</f>
        <v>33533.999999999993</v>
      </c>
    </row>
    <row r="22" spans="1:6" x14ac:dyDescent="0.25">
      <c r="B22" t="s">
        <v>75</v>
      </c>
      <c r="C22" s="6">
        <f>+C20*0.4</f>
        <v>33533.999999999993</v>
      </c>
    </row>
    <row r="23" spans="1:6" x14ac:dyDescent="0.25">
      <c r="B23" t="s">
        <v>76</v>
      </c>
      <c r="C23" s="6">
        <f>+C20*0.07</f>
        <v>5868.45</v>
      </c>
    </row>
    <row r="24" spans="1:6" x14ac:dyDescent="0.25">
      <c r="B24" t="s">
        <v>77</v>
      </c>
      <c r="C24" s="6">
        <f>+C20*0.4</f>
        <v>33533.999999999993</v>
      </c>
    </row>
    <row r="26" spans="1:6" x14ac:dyDescent="0.25">
      <c r="D26" s="6">
        <f>SUM(C20:C25)</f>
        <v>190305.44999999998</v>
      </c>
    </row>
    <row r="28" spans="1:6" x14ac:dyDescent="0.25">
      <c r="A28" t="s">
        <v>78</v>
      </c>
      <c r="B28" t="s">
        <v>79</v>
      </c>
      <c r="D28" s="6">
        <f>+Financials!B6*0.00125</f>
        <v>41917.499999999993</v>
      </c>
    </row>
    <row r="30" spans="1:6" x14ac:dyDescent="0.25">
      <c r="A30" t="s">
        <v>22</v>
      </c>
      <c r="B30" t="s">
        <v>80</v>
      </c>
      <c r="D30" s="6">
        <f>+Financials!B6*0.0025</f>
        <v>83834.999999999985</v>
      </c>
    </row>
    <row r="32" spans="1:6" x14ac:dyDescent="0.25">
      <c r="A32" t="s">
        <v>81</v>
      </c>
      <c r="D32" s="6">
        <f>+Financials!B6*0.00025</f>
        <v>8383.5</v>
      </c>
    </row>
    <row r="34" spans="1:6" x14ac:dyDescent="0.25">
      <c r="A34" t="s">
        <v>82</v>
      </c>
      <c r="D34" s="6">
        <v>0</v>
      </c>
      <c r="F34" t="s">
        <v>124</v>
      </c>
    </row>
    <row r="36" spans="1:6" x14ac:dyDescent="0.25">
      <c r="A36" t="s">
        <v>83</v>
      </c>
      <c r="D36" s="6">
        <f>+Financials!B6*0.001</f>
        <v>33534</v>
      </c>
    </row>
    <row r="38" spans="1:6" x14ac:dyDescent="0.25">
      <c r="A38" t="s">
        <v>90</v>
      </c>
      <c r="B38" t="s">
        <v>91</v>
      </c>
      <c r="D38" s="6">
        <f>+D10*0.6666666667</f>
        <v>100000.00000499999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677DB-91D7-4FF2-8F47-75712796F8A0}">
  <dimension ref="A1:K13"/>
  <sheetViews>
    <sheetView workbookViewId="0">
      <selection activeCell="K3" sqref="K3"/>
    </sheetView>
  </sheetViews>
  <sheetFormatPr defaultRowHeight="15" x14ac:dyDescent="0.25"/>
  <cols>
    <col min="1" max="1" width="22.42578125" customWidth="1"/>
    <col min="3" max="3" width="9.140625" style="33"/>
    <col min="4" max="4" width="10.140625" customWidth="1"/>
    <col min="5" max="9" width="12.28515625" style="33" customWidth="1"/>
  </cols>
  <sheetData>
    <row r="1" spans="1:11" s="4" customFormat="1" x14ac:dyDescent="0.25">
      <c r="A1" s="4" t="s">
        <v>130</v>
      </c>
      <c r="B1" s="4" t="s">
        <v>131</v>
      </c>
      <c r="C1" s="32" t="s">
        <v>9</v>
      </c>
      <c r="D1" s="2" t="s">
        <v>132</v>
      </c>
      <c r="E1" s="32" t="s">
        <v>21</v>
      </c>
      <c r="F1" s="32" t="s">
        <v>77</v>
      </c>
      <c r="G1" s="32" t="s">
        <v>133</v>
      </c>
      <c r="H1" s="32" t="s">
        <v>134</v>
      </c>
      <c r="I1" s="32" t="s">
        <v>135</v>
      </c>
      <c r="K1" s="32" t="s">
        <v>139</v>
      </c>
    </row>
    <row r="2" spans="1:11" s="4" customFormat="1" x14ac:dyDescent="0.25">
      <c r="C2" s="33"/>
      <c r="E2" s="33"/>
      <c r="F2" s="33"/>
      <c r="G2" s="33"/>
      <c r="H2" s="33"/>
      <c r="I2" s="33"/>
    </row>
    <row r="3" spans="1:11" x14ac:dyDescent="0.25">
      <c r="A3" s="2" t="s">
        <v>84</v>
      </c>
      <c r="B3">
        <v>425</v>
      </c>
      <c r="C3" s="33">
        <v>1295</v>
      </c>
      <c r="E3" s="33">
        <v>10</v>
      </c>
      <c r="F3" s="33">
        <v>36</v>
      </c>
      <c r="G3" s="33">
        <f>+$C$11*B3</f>
        <v>48.206018518518519</v>
      </c>
      <c r="H3" s="33">
        <f>+$C$12*B3</f>
        <v>18.446180555555554</v>
      </c>
      <c r="I3" s="33">
        <f>+$C$13*B3</f>
        <v>19.921875</v>
      </c>
      <c r="K3" s="33">
        <f>+C3-SUM(E3:I3)</f>
        <v>1162.4259259259259</v>
      </c>
    </row>
    <row r="4" spans="1:11" x14ac:dyDescent="0.25">
      <c r="A4" s="2" t="s">
        <v>112</v>
      </c>
      <c r="B4">
        <v>550</v>
      </c>
      <c r="C4" s="33">
        <v>1525</v>
      </c>
      <c r="E4" s="33">
        <v>10</v>
      </c>
      <c r="F4" s="33">
        <v>36</v>
      </c>
      <c r="G4" s="33">
        <f t="shared" ref="G4:G8" si="0">+$C$11*B4</f>
        <v>62.38425925925926</v>
      </c>
      <c r="H4" s="33">
        <f t="shared" ref="H4:H8" si="1">+$C$12*B4</f>
        <v>23.871527777777779</v>
      </c>
      <c r="I4" s="33">
        <f t="shared" ref="I4:I8" si="2">+$C$13*B4</f>
        <v>25.78125</v>
      </c>
      <c r="K4" s="33">
        <f t="shared" ref="K4:K8" si="3">+C4-SUM(E4:I4)</f>
        <v>1366.962962962963</v>
      </c>
    </row>
    <row r="5" spans="1:11" x14ac:dyDescent="0.25">
      <c r="A5" s="2" t="s">
        <v>111</v>
      </c>
      <c r="B5">
        <v>800</v>
      </c>
      <c r="C5" s="33">
        <v>2400</v>
      </c>
      <c r="E5" s="33">
        <v>10</v>
      </c>
      <c r="F5" s="33">
        <v>36</v>
      </c>
      <c r="G5" s="33">
        <f t="shared" si="0"/>
        <v>90.740740740740748</v>
      </c>
      <c r="H5" s="33">
        <f t="shared" si="1"/>
        <v>34.722222222222221</v>
      </c>
      <c r="I5" s="33">
        <f t="shared" si="2"/>
        <v>37.5</v>
      </c>
      <c r="K5" s="33">
        <f t="shared" si="3"/>
        <v>2191.037037037037</v>
      </c>
    </row>
    <row r="6" spans="1:11" x14ac:dyDescent="0.25">
      <c r="A6" s="2"/>
      <c r="K6" s="33"/>
    </row>
    <row r="7" spans="1:11" x14ac:dyDescent="0.25">
      <c r="A7" s="2" t="s">
        <v>7</v>
      </c>
      <c r="B7">
        <v>1100</v>
      </c>
      <c r="C7" s="33">
        <v>3150</v>
      </c>
      <c r="E7" s="33">
        <v>10</v>
      </c>
      <c r="F7" s="33">
        <v>36</v>
      </c>
      <c r="G7" s="33">
        <f t="shared" si="0"/>
        <v>124.76851851851852</v>
      </c>
      <c r="H7" s="33">
        <f t="shared" si="1"/>
        <v>47.743055555555557</v>
      </c>
      <c r="I7" s="33">
        <f t="shared" si="2"/>
        <v>51.5625</v>
      </c>
      <c r="K7" s="33">
        <f t="shared" si="3"/>
        <v>2879.9259259259261</v>
      </c>
    </row>
    <row r="8" spans="1:11" x14ac:dyDescent="0.25">
      <c r="A8" s="2" t="s">
        <v>85</v>
      </c>
      <c r="B8">
        <v>1300</v>
      </c>
      <c r="C8" s="33">
        <v>3500</v>
      </c>
      <c r="E8" s="33">
        <v>10</v>
      </c>
      <c r="F8" s="33">
        <v>36</v>
      </c>
      <c r="G8" s="33">
        <f t="shared" si="0"/>
        <v>147.4537037037037</v>
      </c>
      <c r="H8" s="33">
        <f t="shared" si="1"/>
        <v>56.423611111111107</v>
      </c>
      <c r="I8" s="33">
        <f t="shared" si="2"/>
        <v>60.9375</v>
      </c>
      <c r="K8" s="33">
        <f t="shared" si="3"/>
        <v>3189.1851851851852</v>
      </c>
    </row>
    <row r="11" spans="1:11" x14ac:dyDescent="0.25">
      <c r="A11" t="s">
        <v>136</v>
      </c>
      <c r="C11" s="34">
        <f>49000/3/144000</f>
        <v>0.11342592592592593</v>
      </c>
    </row>
    <row r="12" spans="1:11" x14ac:dyDescent="0.25">
      <c r="A12" t="s">
        <v>137</v>
      </c>
      <c r="C12" s="34">
        <f>50000/8/144000</f>
        <v>4.3402777777777776E-2</v>
      </c>
    </row>
    <row r="13" spans="1:11" x14ac:dyDescent="0.25">
      <c r="A13" t="s">
        <v>138</v>
      </c>
      <c r="C13" s="34">
        <f>6750/144000</f>
        <v>4.6875E-2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Financials</vt:lpstr>
      <vt:lpstr>Mortgage</vt:lpstr>
      <vt:lpstr>Assumptions</vt:lpstr>
      <vt:lpstr>Rents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Baker</dc:creator>
  <cp:lastModifiedBy>Darren Sinke</cp:lastModifiedBy>
  <cp:lastPrinted>2020-04-30T16:48:46Z</cp:lastPrinted>
  <dcterms:created xsi:type="dcterms:W3CDTF">2019-11-25T22:28:05Z</dcterms:created>
  <dcterms:modified xsi:type="dcterms:W3CDTF">2020-11-23T17:05:47Z</dcterms:modified>
</cp:coreProperties>
</file>