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inke\Desktop\"/>
    </mc:Choice>
  </mc:AlternateContent>
  <xr:revisionPtr revIDLastSave="0" documentId="8_{75078C3E-83FA-4606-B9DB-65819717A3FF}" xr6:coauthVersionLast="45" xr6:coauthVersionMax="45" xr10:uidLastSave="{00000000-0000-0000-0000-000000000000}"/>
  <bookViews>
    <workbookView xWindow="-28920" yWindow="-90" windowWidth="29040" windowHeight="15840" xr2:uid="{00000000-000D-0000-FFFF-FFFF00000000}"/>
  </bookViews>
  <sheets>
    <sheet name="Financials" sheetId="1" r:id="rId1"/>
    <sheet name="Mortgage" sheetId="2" r:id="rId2"/>
    <sheet name="Assumption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1" l="1"/>
  <c r="K20" i="1"/>
  <c r="K17" i="1"/>
  <c r="K18" i="1"/>
  <c r="K16" i="1"/>
  <c r="E22" i="1" l="1"/>
  <c r="G9" i="1" l="1"/>
  <c r="E25" i="1"/>
  <c r="E24" i="1"/>
  <c r="I21" i="1"/>
  <c r="I20" i="1"/>
  <c r="I18" i="1"/>
  <c r="I17" i="1"/>
  <c r="I16" i="1"/>
  <c r="D6" i="3"/>
  <c r="D7" i="3"/>
  <c r="D8" i="3"/>
  <c r="D9" i="3"/>
  <c r="D10" i="3"/>
  <c r="D38" i="3" s="1"/>
  <c r="D11" i="3"/>
  <c r="D5" i="3"/>
  <c r="I22" i="1" l="1"/>
  <c r="I31" i="1" s="1"/>
  <c r="I33" i="1" s="1"/>
  <c r="B6" i="1" s="1"/>
  <c r="D18" i="3" s="1"/>
  <c r="B6" i="2"/>
  <c r="B30" i="1" l="1"/>
  <c r="D34" i="3"/>
  <c r="D15" i="3"/>
  <c r="B46" i="1"/>
  <c r="G39" i="1" s="1"/>
  <c r="D28" i="3"/>
  <c r="D36" i="3"/>
  <c r="C20" i="3"/>
  <c r="C21" i="3" s="1"/>
  <c r="D30" i="3"/>
  <c r="D32" i="3"/>
  <c r="B31" i="1"/>
  <c r="G25" i="1"/>
  <c r="B19" i="1" s="1"/>
  <c r="G17" i="1"/>
  <c r="G18" i="1"/>
  <c r="G20" i="1"/>
  <c r="G21" i="1"/>
  <c r="B29" i="1" l="1"/>
  <c r="C24" i="3"/>
  <c r="C23" i="3"/>
  <c r="C22" i="3"/>
  <c r="B37" i="1"/>
  <c r="B36" i="1"/>
  <c r="B35" i="1"/>
  <c r="B28" i="1"/>
  <c r="B26" i="1"/>
  <c r="D13" i="3"/>
  <c r="B25" i="1" s="1"/>
  <c r="D26" i="3" l="1"/>
  <c r="G28" i="1"/>
  <c r="B27" i="1" l="1"/>
  <c r="B9" i="2"/>
  <c r="B4" i="2"/>
  <c r="B5" i="2"/>
  <c r="B34" i="1" s="1"/>
  <c r="B12" i="2"/>
  <c r="B48" i="1"/>
  <c r="G29" i="1" l="1"/>
  <c r="B15" i="1" s="1"/>
  <c r="G24" i="1"/>
  <c r="B18" i="1" s="1"/>
  <c r="G16" i="1"/>
  <c r="G22" i="1" l="1"/>
  <c r="B14" i="1" s="1"/>
  <c r="B16" i="1" s="1"/>
  <c r="B8" i="1"/>
  <c r="B3" i="2" l="1"/>
  <c r="G13" i="1"/>
  <c r="G12" i="1" s="1"/>
  <c r="B21" i="1"/>
  <c r="C3" i="3" s="1"/>
  <c r="D3" i="3" s="1"/>
  <c r="B24" i="1" l="1"/>
  <c r="B8" i="2"/>
  <c r="B20" i="2" s="1"/>
  <c r="B13" i="2" l="1"/>
  <c r="C20" i="2" s="1"/>
  <c r="D20" i="2" s="1"/>
  <c r="B21" i="2" s="1"/>
  <c r="C21" i="2" s="1"/>
  <c r="D21" i="2" l="1"/>
  <c r="B22" i="2" s="1"/>
  <c r="C22" i="2" s="1"/>
  <c r="B14" i="2"/>
  <c r="B15" i="2" s="1"/>
  <c r="B16" i="2" s="1"/>
  <c r="D22" i="2" l="1"/>
  <c r="B23" i="2" l="1"/>
  <c r="C23" i="2" l="1"/>
  <c r="D23" i="2" l="1"/>
  <c r="B24" i="2" s="1"/>
  <c r="C24" i="2" s="1"/>
  <c r="D24" i="2" s="1"/>
  <c r="B25" i="2" s="1"/>
  <c r="C25" i="2" s="1"/>
  <c r="D25" i="2" s="1"/>
  <c r="B26" i="2" l="1"/>
  <c r="C26" i="2" s="1"/>
  <c r="D26" i="2" s="1"/>
  <c r="B27" i="2" l="1"/>
  <c r="C27" i="2" s="1"/>
  <c r="D27" i="2" s="1"/>
  <c r="B28" i="2" s="1"/>
  <c r="C28" i="2" s="1"/>
  <c r="D28" i="2" s="1"/>
  <c r="B29" i="2" s="1"/>
  <c r="C29" i="2" s="1"/>
  <c r="D29" i="2" s="1"/>
  <c r="B30" i="2" l="1"/>
  <c r="C30" i="2" s="1"/>
  <c r="D30" i="2" s="1"/>
  <c r="B31" i="2" l="1"/>
  <c r="C31" i="2" l="1"/>
  <c r="B33" i="2"/>
  <c r="B33" i="1" l="1"/>
  <c r="G38" i="1" s="1"/>
  <c r="C33" i="2"/>
  <c r="D31" i="2"/>
  <c r="B32" i="1" l="1"/>
  <c r="G42" i="1" s="1"/>
  <c r="B47" i="1" l="1"/>
  <c r="B39" i="1"/>
  <c r="B41" i="1" s="1"/>
  <c r="B50" i="1" s="1"/>
  <c r="G37" i="1" s="1"/>
  <c r="G41" i="1" s="1"/>
  <c r="G44" i="1" s="1"/>
</calcChain>
</file>

<file path=xl/sharedStrings.xml><?xml version="1.0" encoding="utf-8"?>
<sst xmlns="http://schemas.openxmlformats.org/spreadsheetml/2006/main" count="135" uniqueCount="121">
  <si>
    <t>To Build:</t>
  </si>
  <si>
    <t>Land</t>
  </si>
  <si>
    <t>Construction</t>
  </si>
  <si>
    <t>Total Cost:</t>
  </si>
  <si>
    <t>Includes all of building and equipment/appliances/etc.</t>
  </si>
  <si>
    <t>Preliminary Budget:</t>
  </si>
  <si>
    <t>Rent Revenue</t>
  </si>
  <si>
    <t>Suites:</t>
  </si>
  <si>
    <t>1 Bedroom</t>
  </si>
  <si>
    <t>2 Bedroom</t>
  </si>
  <si>
    <t>Number</t>
  </si>
  <si>
    <t>Rent</t>
  </si>
  <si>
    <t>Net Revenue</t>
  </si>
  <si>
    <t>TOTAL</t>
  </si>
  <si>
    <t>Parking</t>
  </si>
  <si>
    <t>Parking Revenue</t>
  </si>
  <si>
    <t xml:space="preserve">  Rent Reductions (LL)</t>
  </si>
  <si>
    <t>Life Leases</t>
  </si>
  <si>
    <t>Total Commitments</t>
  </si>
  <si>
    <t>Rent Reduction</t>
  </si>
  <si>
    <t>Expenses</t>
  </si>
  <si>
    <t>Society Expenses</t>
  </si>
  <si>
    <t>Payroll</t>
  </si>
  <si>
    <t>Property Taxes</t>
  </si>
  <si>
    <t>Utilities</t>
  </si>
  <si>
    <t>Insurance</t>
  </si>
  <si>
    <t>Contingency Reserve</t>
  </si>
  <si>
    <t>Maintenance</t>
  </si>
  <si>
    <t>Mortgage Principal</t>
  </si>
  <si>
    <t>Mortgage Interest</t>
  </si>
  <si>
    <t>Amortization</t>
  </si>
  <si>
    <t>Housekeeping</t>
  </si>
  <si>
    <t>Recreation</t>
  </si>
  <si>
    <t>Total Expenses</t>
  </si>
  <si>
    <t>Office &amp; General</t>
  </si>
  <si>
    <t>Net Cash Flow</t>
  </si>
  <si>
    <t>Financial Statement Adjustments:</t>
  </si>
  <si>
    <t>Net Income (F/S)</t>
  </si>
  <si>
    <t xml:space="preserve">  Vacancy Allowance 1%</t>
  </si>
  <si>
    <t>Directed Donations</t>
  </si>
  <si>
    <t>Life Leases:</t>
  </si>
  <si>
    <t>Annual Interest Rate</t>
  </si>
  <si>
    <t>Life of Loan</t>
  </si>
  <si>
    <t>Number of PMTs/year</t>
  </si>
  <si>
    <t>Total Number fo PMTs</t>
  </si>
  <si>
    <t>Payment per Period</t>
  </si>
  <si>
    <t>Total Annual Cost</t>
  </si>
  <si>
    <t>Sum of Payments</t>
  </si>
  <si>
    <t>Interest Cost</t>
  </si>
  <si>
    <t>Interest</t>
  </si>
  <si>
    <t>Principal</t>
  </si>
  <si>
    <t>Balance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</si>
  <si>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</si>
  <si>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</si>
  <si>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</si>
  <si>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</si>
  <si>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</si>
  <si>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</si>
  <si>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</si>
  <si>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</si>
  <si>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</si>
  <si>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</si>
  <si>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</si>
  <si>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</si>
  <si>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Mortgage Calculations</t>
  </si>
  <si>
    <t>Funding Requirement</t>
  </si>
  <si>
    <t>Mortgage Amount</t>
  </si>
  <si>
    <t>Private Loans</t>
  </si>
  <si>
    <t>Private Loan Interest</t>
  </si>
  <si>
    <t>Funding:</t>
  </si>
  <si>
    <t>Mortgage</t>
  </si>
  <si>
    <t>Rates</t>
  </si>
  <si>
    <t>Assumptions</t>
  </si>
  <si>
    <t>Basis</t>
  </si>
  <si>
    <t>Calculated</t>
  </si>
  <si>
    <t>Budget</t>
  </si>
  <si>
    <t>Payroll (Wages + Benefits)</t>
  </si>
  <si>
    <t>Total Wages &amp; Benefits</t>
  </si>
  <si>
    <t>Power</t>
  </si>
  <si>
    <t>Water &amp; Sewer</t>
  </si>
  <si>
    <t>Heating</t>
  </si>
  <si>
    <t>Telephone</t>
  </si>
  <si>
    <t>Cable TV</t>
  </si>
  <si>
    <t>Insurance (includes Tenant Insurance)</t>
  </si>
  <si>
    <t>Proportionate to EH</t>
  </si>
  <si>
    <t>Beginnings of an Evergreen Policy</t>
  </si>
  <si>
    <t>Housekeeping Supplies</t>
  </si>
  <si>
    <t>Recreation Supplies</t>
  </si>
  <si>
    <t>Office and General</t>
  </si>
  <si>
    <t>Studio - Small</t>
  </si>
  <si>
    <t>Studio - Large</t>
  </si>
  <si>
    <t>2 Bed + Den</t>
  </si>
  <si>
    <t>Donation</t>
  </si>
  <si>
    <t>Housekeeping 2.0 FTE</t>
  </si>
  <si>
    <t>Kitchen</t>
  </si>
  <si>
    <t>Meal Plans</t>
  </si>
  <si>
    <t>Kitchen - Food &amp; Expenses</t>
  </si>
  <si>
    <t>Proportionate to EH 2/3 of Wages</t>
  </si>
  <si>
    <t>As per City of Edmonton calculator</t>
  </si>
  <si>
    <t>West End Christian Seniors Homes</t>
  </si>
  <si>
    <t>Finance - through Society .5 FTE</t>
  </si>
  <si>
    <t>0.5% of Revenue (Audit, Misc)</t>
  </si>
  <si>
    <t>Operations .5 FTE Mid-management</t>
  </si>
  <si>
    <t>Donation of Land &amp; Capital</t>
  </si>
  <si>
    <t>Administration 1.5 FTE</t>
  </si>
  <si>
    <t xml:space="preserve">Maintenance 1.0 FTE </t>
  </si>
  <si>
    <t>Recreation 1 FTE</t>
  </si>
  <si>
    <t>Kitchen 4 FTE</t>
  </si>
  <si>
    <t>FTE</t>
  </si>
  <si>
    <t>.1% of Building Cost</t>
  </si>
  <si>
    <t>SF</t>
  </si>
  <si>
    <t>Amenities Ratio</t>
  </si>
  <si>
    <t>Cost to Build/SF</t>
  </si>
  <si>
    <t>Net SF</t>
  </si>
  <si>
    <t>Debt Servicing</t>
  </si>
  <si>
    <t>Net Income</t>
  </si>
  <si>
    <t>Available</t>
  </si>
  <si>
    <t>Princ + Int</t>
  </si>
  <si>
    <t>Price/SF</t>
  </si>
  <si>
    <t>Debt Service Coverage</t>
  </si>
  <si>
    <t>To Operate (Typical early years):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</si>
</sst>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#,##0"/>
    <numFmt numFmtId="165" formatCode="#,##0.00;[Red]#,##0.00"/>
    <numFmt numFmtId="166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164" fontId="0" fillId="0" borderId="0" xfId="0" applyNumberFormat="1"/>
    <xf numFmtId="0" fontId="1" fillId="0" borderId="0" xfId="0" applyFont="1"/>
    <xf numFmtId="165" fontId="0" fillId="0" borderId="0" xfId="0" applyNumberFormat="1"/>
    <xf numFmtId="0" fontId="0" fillId="0" borderId="0" xfId="0"/>
    <xf numFmtId="10" fontId="0" fillId="0" borderId="0" xfId="0" applyNumberFormat="1"/>
    <xf numFmtId="3" fontId="0" fillId="0" borderId="0" xfId="0" applyNumberFormat="1"/>
    <xf numFmtId="165" fontId="0" fillId="2" borderId="0" xfId="0" applyNumberFormat="1" applyFill="1" applyProtection="1">
      <protection locked="0"/>
    </xf>
    <xf numFmtId="10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3" fontId="0" fillId="0" borderId="0" xfId="0" applyNumberFormat="1" applyAlignment="1">
      <alignment horizontal="right"/>
    </xf>
    <xf numFmtId="38" fontId="0" fillId="2" borderId="0" xfId="0" applyNumberFormat="1" applyFill="1" applyProtection="1">
      <protection locked="0"/>
    </xf>
    <xf numFmtId="38" fontId="0" fillId="0" borderId="0" xfId="0" applyNumberFormat="1" applyProtection="1"/>
    <xf numFmtId="38" fontId="0" fillId="0" borderId="0" xfId="0" applyNumberFormat="1" applyFont="1" applyProtection="1"/>
    <xf numFmtId="0" fontId="0" fillId="0" borderId="0" xfId="0" applyProtection="1"/>
    <xf numFmtId="164" fontId="0" fillId="0" borderId="0" xfId="0" applyNumberFormat="1" applyProtection="1"/>
    <xf numFmtId="165" fontId="0" fillId="0" borderId="0" xfId="0" applyNumberFormat="1" applyProtection="1"/>
    <xf numFmtId="0" fontId="1" fillId="0" borderId="0" xfId="0" applyFont="1" applyProtection="1"/>
    <xf numFmtId="164" fontId="1" fillId="0" borderId="0" xfId="0" applyNumberFormat="1" applyFont="1" applyProtection="1"/>
    <xf numFmtId="165" fontId="1" fillId="0" borderId="0" xfId="0" applyNumberFormat="1" applyFont="1" applyProtection="1"/>
    <xf numFmtId="38" fontId="0" fillId="0" borderId="1" xfId="0" applyNumberFormat="1" applyBorder="1" applyProtection="1"/>
    <xf numFmtId="0" fontId="0" fillId="0" borderId="0" xfId="0" applyAlignment="1" applyProtection="1">
      <alignment horizontal="right"/>
    </xf>
    <xf numFmtId="10" fontId="0" fillId="0" borderId="0" xfId="0" applyNumberFormat="1" applyProtection="1"/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3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6" fontId="0" fillId="0" borderId="0" xfId="0" applyNumberFormat="1"/>
    <xf numFmtId="166" fontId="1" fillId="0" borderId="0" xfId="0" applyNumberFormat="1" applyFont="1"/>
    <xf numFmtId="166" fontId="0" fillId="0" borderId="0" xfId="0" applyNumberFormat="1" applyAlignment="1">
      <alignment horizontal="right"/>
    </xf>
    <xf numFmtId="38" fontId="1" fillId="0" borderId="0" xfId="0" applyNumberFormat="1" applyFont="1" applyProtection="1"/>
  </cellXfs>
  <cellStyles count="2">
    <cellStyle name="Normal" xfId="0" builtinId="0"/>
    <cellStyle name="Normal 9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"/>
  <sheetViews>
    <sheetView tabSelected="1" zoomScaleNormal="100" workbookViewId="0">
      <selection activeCell="G24" sqref="G24"/>
    </sheetView>
  </sheetViews>
  <sheetFormatPr defaultRowHeight="15" x14ac:dyDescent="0.25"/>
  <cols>
    <col min="1" max="1" width="22.140625" customWidth="1"/>
    <col min="2" max="2" width="15.5703125" style="1" customWidth="1"/>
    <col min="4" max="4" width="15.140625" customWidth="1"/>
    <col min="6" max="6" width="9.140625" style="3"/>
    <col min="7" max="7" width="13" style="3" customWidth="1"/>
    <col min="9" max="9" width="12.140625" customWidth="1"/>
    <col min="11" max="11" width="9.140625" style="27"/>
  </cols>
  <sheetData>
    <row r="1" spans="1:11" x14ac:dyDescent="0.25">
      <c r="A1" s="14" t="s">
        <v>99</v>
      </c>
      <c r="B1" s="15"/>
      <c r="C1" s="14"/>
      <c r="D1" s="14"/>
      <c r="E1" s="14"/>
      <c r="F1" s="16"/>
      <c r="G1" s="16"/>
      <c r="H1" s="14"/>
      <c r="I1" s="14"/>
    </row>
    <row r="2" spans="1:11" x14ac:dyDescent="0.25">
      <c r="A2" s="14"/>
      <c r="B2" s="15"/>
      <c r="C2" s="14"/>
      <c r="D2" s="14"/>
      <c r="E2" s="14"/>
      <c r="F2" s="16"/>
      <c r="G2" s="16"/>
      <c r="H2" s="14"/>
      <c r="I2" s="14"/>
    </row>
    <row r="3" spans="1:11" s="2" customFormat="1" x14ac:dyDescent="0.25">
      <c r="A3" s="17" t="s">
        <v>0</v>
      </c>
      <c r="B3" s="18"/>
      <c r="C3" s="17"/>
      <c r="D3" s="17"/>
      <c r="E3" s="17"/>
      <c r="F3" s="19"/>
      <c r="G3" s="19"/>
      <c r="H3" s="17"/>
      <c r="I3" s="17"/>
      <c r="K3" s="28"/>
    </row>
    <row r="4" spans="1:11" x14ac:dyDescent="0.25">
      <c r="A4" s="14"/>
      <c r="B4" s="12"/>
      <c r="C4" s="14"/>
      <c r="D4" s="14"/>
      <c r="E4" s="14"/>
      <c r="F4" s="16"/>
      <c r="G4" s="16"/>
      <c r="H4" s="14"/>
      <c r="I4" s="14"/>
    </row>
    <row r="5" spans="1:11" x14ac:dyDescent="0.25">
      <c r="A5" s="14" t="s">
        <v>1</v>
      </c>
      <c r="B5" s="11">
        <v>7000000</v>
      </c>
      <c r="C5" s="14"/>
      <c r="D5" s="14"/>
      <c r="E5" s="14"/>
      <c r="F5" s="16"/>
      <c r="G5" s="16"/>
      <c r="H5" s="14"/>
      <c r="I5" s="14"/>
    </row>
    <row r="6" spans="1:11" x14ac:dyDescent="0.25">
      <c r="A6" s="14" t="s">
        <v>2</v>
      </c>
      <c r="B6" s="11">
        <f>+I33</f>
        <v>28185300</v>
      </c>
      <c r="C6" s="14"/>
      <c r="D6" s="14" t="s">
        <v>4</v>
      </c>
      <c r="E6" s="14"/>
      <c r="F6" s="16"/>
      <c r="G6" s="16"/>
      <c r="H6" s="14"/>
      <c r="I6" s="14"/>
    </row>
    <row r="7" spans="1:11" x14ac:dyDescent="0.25">
      <c r="A7" s="14"/>
      <c r="B7" s="20"/>
      <c r="C7" s="14"/>
      <c r="D7" s="14"/>
      <c r="E7" s="14"/>
      <c r="F7" s="16"/>
      <c r="G7" s="16"/>
      <c r="H7" s="14"/>
      <c r="I7" s="14"/>
    </row>
    <row r="8" spans="1:11" x14ac:dyDescent="0.25">
      <c r="A8" s="17" t="s">
        <v>3</v>
      </c>
      <c r="B8" s="30">
        <f>SUM(B5:B7)</f>
        <v>35185300</v>
      </c>
      <c r="C8" s="14"/>
      <c r="D8" s="17" t="s">
        <v>69</v>
      </c>
      <c r="E8" s="14"/>
      <c r="F8" s="16"/>
      <c r="G8" s="12"/>
      <c r="H8" s="14"/>
      <c r="I8" s="21" t="s">
        <v>71</v>
      </c>
    </row>
    <row r="9" spans="1:11" x14ac:dyDescent="0.25">
      <c r="A9" s="14"/>
      <c r="B9" s="12"/>
      <c r="C9" s="14"/>
      <c r="D9" s="14" t="s">
        <v>17</v>
      </c>
      <c r="E9" s="14"/>
      <c r="F9" s="16"/>
      <c r="G9" s="12">
        <f>+E22*66666.67</f>
        <v>6000000.2999999998</v>
      </c>
      <c r="H9" s="14"/>
      <c r="I9" s="8">
        <v>0.03</v>
      </c>
    </row>
    <row r="10" spans="1:11" x14ac:dyDescent="0.25">
      <c r="A10" s="14" t="s">
        <v>5</v>
      </c>
      <c r="B10" s="12"/>
      <c r="C10" s="14"/>
      <c r="D10" s="14" t="s">
        <v>67</v>
      </c>
      <c r="E10" s="14"/>
      <c r="F10" s="16"/>
      <c r="G10" s="11">
        <v>4000000</v>
      </c>
      <c r="H10" s="14"/>
      <c r="I10" s="8">
        <v>0.03</v>
      </c>
    </row>
    <row r="11" spans="1:11" x14ac:dyDescent="0.25">
      <c r="A11" s="14"/>
      <c r="B11" s="12"/>
      <c r="C11" s="14"/>
      <c r="D11" s="14" t="s">
        <v>92</v>
      </c>
      <c r="E11" s="14"/>
      <c r="F11" s="16"/>
      <c r="G11" s="11">
        <v>7000000</v>
      </c>
      <c r="H11" s="14"/>
      <c r="I11" s="8">
        <v>0</v>
      </c>
    </row>
    <row r="12" spans="1:11" x14ac:dyDescent="0.25">
      <c r="A12" s="17" t="s">
        <v>120</v>
      </c>
      <c r="B12" s="12"/>
      <c r="C12" s="14"/>
      <c r="D12" s="14" t="s">
        <v>70</v>
      </c>
      <c r="E12" s="14"/>
      <c r="F12" s="16"/>
      <c r="G12" s="12">
        <f>+G13-G9-G10-G11</f>
        <v>18185299.699999999</v>
      </c>
      <c r="H12" s="14"/>
      <c r="I12" s="8">
        <v>4.2500000000000003E-2</v>
      </c>
    </row>
    <row r="13" spans="1:11" x14ac:dyDescent="0.25">
      <c r="A13" s="14"/>
      <c r="B13" s="12"/>
      <c r="C13" s="14"/>
      <c r="D13" s="14" t="s">
        <v>13</v>
      </c>
      <c r="E13" s="14"/>
      <c r="F13" s="16"/>
      <c r="G13" s="12">
        <f>+B8</f>
        <v>35185300</v>
      </c>
      <c r="H13" s="14"/>
      <c r="I13" s="14"/>
    </row>
    <row r="14" spans="1:11" x14ac:dyDescent="0.25">
      <c r="A14" s="14" t="s">
        <v>6</v>
      </c>
      <c r="B14" s="12">
        <f>+G22</f>
        <v>2767320</v>
      </c>
      <c r="C14" s="14"/>
      <c r="D14" s="14"/>
      <c r="E14" s="14"/>
      <c r="F14" s="16"/>
      <c r="G14" s="12"/>
      <c r="H14" s="14"/>
      <c r="I14" s="14"/>
    </row>
    <row r="15" spans="1:11" x14ac:dyDescent="0.25">
      <c r="A15" s="14" t="s">
        <v>16</v>
      </c>
      <c r="B15" s="12">
        <f>+G29</f>
        <v>-180000.00899999999</v>
      </c>
      <c r="C15" s="14"/>
      <c r="D15" s="14" t="s">
        <v>7</v>
      </c>
      <c r="E15" s="14" t="s">
        <v>10</v>
      </c>
      <c r="F15" s="16" t="s">
        <v>11</v>
      </c>
      <c r="G15" s="12" t="s">
        <v>12</v>
      </c>
      <c r="H15" s="21" t="s">
        <v>110</v>
      </c>
      <c r="I15" s="21" t="s">
        <v>113</v>
      </c>
      <c r="K15" s="29" t="s">
        <v>118</v>
      </c>
    </row>
    <row r="16" spans="1:11" x14ac:dyDescent="0.25">
      <c r="A16" s="14" t="s">
        <v>38</v>
      </c>
      <c r="B16" s="12">
        <f>-B14*0.01</f>
        <v>-27673.200000000001</v>
      </c>
      <c r="C16" s="14"/>
      <c r="D16" s="14" t="s">
        <v>89</v>
      </c>
      <c r="E16" s="11">
        <v>8</v>
      </c>
      <c r="F16" s="11">
        <v>1295</v>
      </c>
      <c r="G16" s="12">
        <f>+E16*F16*12</f>
        <v>124320</v>
      </c>
      <c r="H16" s="9">
        <v>425</v>
      </c>
      <c r="I16" s="12">
        <f>+H16*E16</f>
        <v>3400</v>
      </c>
      <c r="K16" s="27">
        <f>+F16/H16</f>
        <v>3.0470588235294116</v>
      </c>
    </row>
    <row r="17" spans="1:11" x14ac:dyDescent="0.25">
      <c r="A17" s="14" t="s">
        <v>39</v>
      </c>
      <c r="B17" s="11">
        <v>20000</v>
      </c>
      <c r="C17" s="14"/>
      <c r="D17" s="14" t="s">
        <v>90</v>
      </c>
      <c r="E17" s="11">
        <v>8</v>
      </c>
      <c r="F17" s="11">
        <v>1525</v>
      </c>
      <c r="G17" s="12">
        <f t="shared" ref="G17:G21" si="0">+E17*F17*12</f>
        <v>146400</v>
      </c>
      <c r="H17" s="9">
        <v>600</v>
      </c>
      <c r="I17" s="12">
        <f t="shared" ref="I17:I21" si="1">+H17*E17</f>
        <v>4800</v>
      </c>
      <c r="K17" s="27">
        <f t="shared" ref="K17:K21" si="2">+F17/H17</f>
        <v>2.5416666666666665</v>
      </c>
    </row>
    <row r="18" spans="1:11" x14ac:dyDescent="0.25">
      <c r="A18" s="14" t="s">
        <v>15</v>
      </c>
      <c r="B18" s="12">
        <f>+G24</f>
        <v>51840</v>
      </c>
      <c r="C18" s="14"/>
      <c r="D18" s="14" t="s">
        <v>8</v>
      </c>
      <c r="E18" s="11">
        <v>39</v>
      </c>
      <c r="F18" s="11">
        <v>2400</v>
      </c>
      <c r="G18" s="12">
        <f t="shared" si="0"/>
        <v>1123200</v>
      </c>
      <c r="H18" s="9">
        <v>800</v>
      </c>
      <c r="I18" s="12">
        <f t="shared" si="1"/>
        <v>31200</v>
      </c>
      <c r="K18" s="27">
        <f t="shared" si="2"/>
        <v>3</v>
      </c>
    </row>
    <row r="19" spans="1:11" x14ac:dyDescent="0.25">
      <c r="A19" s="14" t="s">
        <v>95</v>
      </c>
      <c r="B19" s="12">
        <f>+G25</f>
        <v>270000</v>
      </c>
      <c r="C19" s="14"/>
      <c r="D19" s="14"/>
      <c r="E19" s="11"/>
      <c r="F19" s="7"/>
      <c r="G19" s="12"/>
      <c r="H19" s="23"/>
      <c r="I19" s="14"/>
    </row>
    <row r="20" spans="1:11" x14ac:dyDescent="0.25">
      <c r="A20" s="14"/>
      <c r="B20" s="20"/>
      <c r="C20" s="14"/>
      <c r="D20" s="14" t="s">
        <v>9</v>
      </c>
      <c r="E20" s="11">
        <v>23</v>
      </c>
      <c r="F20" s="11">
        <v>3150</v>
      </c>
      <c r="G20" s="12">
        <f t="shared" si="0"/>
        <v>869400</v>
      </c>
      <c r="H20" s="9">
        <v>1100</v>
      </c>
      <c r="I20" s="12">
        <f t="shared" si="1"/>
        <v>25300</v>
      </c>
      <c r="K20" s="27">
        <f t="shared" si="2"/>
        <v>2.8636363636363638</v>
      </c>
    </row>
    <row r="21" spans="1:11" x14ac:dyDescent="0.25">
      <c r="A21" s="14" t="s">
        <v>12</v>
      </c>
      <c r="B21" s="12">
        <f>SUM(B14:B20)</f>
        <v>2901486.7909999997</v>
      </c>
      <c r="C21" s="14"/>
      <c r="D21" s="14" t="s">
        <v>91</v>
      </c>
      <c r="E21" s="11">
        <v>12</v>
      </c>
      <c r="F21" s="11">
        <v>3500</v>
      </c>
      <c r="G21" s="12">
        <f t="shared" si="0"/>
        <v>504000</v>
      </c>
      <c r="H21" s="9">
        <v>1300</v>
      </c>
      <c r="I21" s="13">
        <f t="shared" si="1"/>
        <v>15600</v>
      </c>
      <c r="K21" s="27">
        <f t="shared" si="2"/>
        <v>2.6923076923076925</v>
      </c>
    </row>
    <row r="22" spans="1:11" x14ac:dyDescent="0.25">
      <c r="A22" s="14"/>
      <c r="B22" s="12"/>
      <c r="C22" s="14"/>
      <c r="D22" s="14"/>
      <c r="E22" s="20">
        <f>SUM(E16:E21)</f>
        <v>90</v>
      </c>
      <c r="F22" s="16" t="s">
        <v>13</v>
      </c>
      <c r="G22" s="20">
        <f>SUM(G16:G21)</f>
        <v>2767320</v>
      </c>
      <c r="H22" s="14"/>
      <c r="I22" s="20">
        <f>SUM(I16:I21)</f>
        <v>80300</v>
      </c>
    </row>
    <row r="23" spans="1:11" x14ac:dyDescent="0.25">
      <c r="A23" s="14" t="s">
        <v>20</v>
      </c>
      <c r="B23" s="12"/>
      <c r="C23" s="14"/>
      <c r="D23" s="14"/>
      <c r="E23" s="14"/>
      <c r="F23" s="16"/>
      <c r="G23" s="12"/>
      <c r="H23" s="14"/>
      <c r="I23" s="14"/>
    </row>
    <row r="24" spans="1:11" x14ac:dyDescent="0.25">
      <c r="A24" s="14" t="s">
        <v>21</v>
      </c>
      <c r="B24" s="12">
        <f>+Assumptions!D3</f>
        <v>14507.433954999999</v>
      </c>
      <c r="C24" s="14"/>
      <c r="D24" s="14" t="s">
        <v>14</v>
      </c>
      <c r="E24" s="14">
        <f>INT($E$22*0.8)</f>
        <v>72</v>
      </c>
      <c r="F24" s="7">
        <v>60</v>
      </c>
      <c r="G24" s="12">
        <f>+F24*E24*12</f>
        <v>51840</v>
      </c>
      <c r="H24" s="14"/>
      <c r="I24" s="14"/>
    </row>
    <row r="25" spans="1:11" x14ac:dyDescent="0.25">
      <c r="A25" s="14" t="s">
        <v>22</v>
      </c>
      <c r="B25" s="12">
        <f>+Assumptions!D13</f>
        <v>610000</v>
      </c>
      <c r="C25" s="14"/>
      <c r="D25" s="14" t="s">
        <v>95</v>
      </c>
      <c r="E25" s="14">
        <f>+Assumptions!E10*7.5</f>
        <v>30</v>
      </c>
      <c r="F25" s="7">
        <v>750</v>
      </c>
      <c r="G25" s="12">
        <f>+F25*E25*12</f>
        <v>270000</v>
      </c>
      <c r="H25" s="14"/>
      <c r="I25" s="14"/>
    </row>
    <row r="26" spans="1:11" x14ac:dyDescent="0.25">
      <c r="A26" s="14" t="s">
        <v>23</v>
      </c>
      <c r="B26" s="12">
        <f>+Assumptions!D15</f>
        <v>281853</v>
      </c>
      <c r="C26" s="14"/>
      <c r="D26" s="14"/>
      <c r="E26" s="14"/>
      <c r="F26" s="16"/>
      <c r="G26" s="12"/>
      <c r="H26" s="14"/>
      <c r="I26" s="14"/>
    </row>
    <row r="27" spans="1:11" x14ac:dyDescent="0.25">
      <c r="A27" s="14" t="s">
        <v>24</v>
      </c>
      <c r="B27" s="12">
        <f>+Assumptions!D26</f>
        <v>217966.10203368001</v>
      </c>
      <c r="C27" s="14"/>
      <c r="D27" s="17" t="s">
        <v>40</v>
      </c>
      <c r="E27" s="14"/>
      <c r="F27" s="16"/>
      <c r="G27" s="12"/>
      <c r="H27" s="14"/>
      <c r="I27" s="14"/>
    </row>
    <row r="28" spans="1:11" x14ac:dyDescent="0.25">
      <c r="A28" s="14" t="s">
        <v>25</v>
      </c>
      <c r="B28" s="12">
        <f>+Assumptions!D28</f>
        <v>35231.625</v>
      </c>
      <c r="C28" s="14"/>
      <c r="D28" s="14" t="s">
        <v>18</v>
      </c>
      <c r="E28" s="14"/>
      <c r="F28" s="16"/>
      <c r="G28" s="12">
        <f>+G9</f>
        <v>6000000.2999999998</v>
      </c>
      <c r="H28" s="14"/>
      <c r="I28" s="14"/>
    </row>
    <row r="29" spans="1:11" x14ac:dyDescent="0.25">
      <c r="A29" s="14" t="s">
        <v>26</v>
      </c>
      <c r="B29" s="12">
        <f>+Assumptions!D30</f>
        <v>70463.25</v>
      </c>
      <c r="C29" s="14"/>
      <c r="D29" s="14" t="s">
        <v>19</v>
      </c>
      <c r="E29" s="14"/>
      <c r="F29" s="22">
        <v>0.03</v>
      </c>
      <c r="G29" s="12">
        <f>+G28*-F29</f>
        <v>-180000.00899999999</v>
      </c>
      <c r="H29" s="14"/>
      <c r="I29" s="14"/>
    </row>
    <row r="30" spans="1:11" x14ac:dyDescent="0.25">
      <c r="A30" s="14" t="s">
        <v>27</v>
      </c>
      <c r="B30" s="12">
        <f>+Assumptions!D18</f>
        <v>28185.3</v>
      </c>
      <c r="C30" s="14"/>
      <c r="D30" s="14"/>
      <c r="E30" s="14"/>
      <c r="F30" s="16"/>
      <c r="G30" s="12"/>
      <c r="H30" s="14"/>
      <c r="I30" s="14"/>
    </row>
    <row r="31" spans="1:11" s="4" customFormat="1" x14ac:dyDescent="0.25">
      <c r="A31" s="14" t="s">
        <v>94</v>
      </c>
      <c r="B31" s="12">
        <f>+Assumptions!D38</f>
        <v>133333.33333999998</v>
      </c>
      <c r="C31" s="14"/>
      <c r="D31" s="14" t="s">
        <v>111</v>
      </c>
      <c r="E31" s="14"/>
      <c r="F31" s="8">
        <v>0.3</v>
      </c>
      <c r="G31" s="12"/>
      <c r="H31" s="14"/>
      <c r="I31" s="12">
        <f>+I22*(1+F31)</f>
        <v>104390</v>
      </c>
      <c r="K31" s="27"/>
    </row>
    <row r="32" spans="1:11" x14ac:dyDescent="0.25">
      <c r="A32" s="14" t="s">
        <v>28</v>
      </c>
      <c r="B32" s="12">
        <f>+Mortgage!C33</f>
        <v>417393.3259470971</v>
      </c>
      <c r="C32" s="14"/>
      <c r="D32" s="14"/>
      <c r="E32" s="14"/>
      <c r="F32" s="24"/>
      <c r="G32" s="12"/>
      <c r="H32" s="14"/>
      <c r="I32" s="14"/>
    </row>
    <row r="33" spans="1:11" s="4" customFormat="1" x14ac:dyDescent="0.25">
      <c r="A33" s="14" t="s">
        <v>29</v>
      </c>
      <c r="B33" s="12">
        <f>+Mortgage!B33</f>
        <v>764807.04108173656</v>
      </c>
      <c r="C33" s="14"/>
      <c r="D33" s="14" t="s">
        <v>112</v>
      </c>
      <c r="E33" s="14"/>
      <c r="F33" s="11">
        <v>270</v>
      </c>
      <c r="G33" s="12"/>
      <c r="H33" s="14"/>
      <c r="I33" s="12">
        <f>+I31*F33</f>
        <v>28185300</v>
      </c>
      <c r="K33" s="27"/>
    </row>
    <row r="34" spans="1:11" x14ac:dyDescent="0.25">
      <c r="A34" s="14" t="s">
        <v>68</v>
      </c>
      <c r="B34" s="12">
        <f>+Mortgage!B5*I10</f>
        <v>120000</v>
      </c>
      <c r="C34" s="14"/>
      <c r="D34" s="14"/>
      <c r="E34" s="14"/>
      <c r="F34" s="16"/>
      <c r="G34" s="12"/>
      <c r="H34" s="14"/>
      <c r="I34" s="14"/>
    </row>
    <row r="35" spans="1:11" x14ac:dyDescent="0.25">
      <c r="A35" s="14" t="s">
        <v>31</v>
      </c>
      <c r="B35" s="12">
        <f>+Assumptions!D32</f>
        <v>7046.3249999999998</v>
      </c>
      <c r="C35" s="14"/>
      <c r="D35" s="17" t="s">
        <v>114</v>
      </c>
      <c r="E35" s="14"/>
      <c r="F35" s="16"/>
      <c r="G35" s="16"/>
      <c r="H35" s="14"/>
      <c r="I35" s="14"/>
    </row>
    <row r="36" spans="1:11" x14ac:dyDescent="0.25">
      <c r="A36" s="14" t="s">
        <v>32</v>
      </c>
      <c r="B36" s="12">
        <f>+Assumptions!D34</f>
        <v>5637.06</v>
      </c>
      <c r="C36" s="14"/>
      <c r="D36" s="14"/>
      <c r="E36" s="14"/>
      <c r="F36" s="16"/>
      <c r="G36" s="16"/>
      <c r="H36" s="14"/>
      <c r="I36" s="14"/>
    </row>
    <row r="37" spans="1:11" x14ac:dyDescent="0.25">
      <c r="A37" s="14" t="s">
        <v>34</v>
      </c>
      <c r="B37" s="12">
        <f>+Assumptions!D36</f>
        <v>37580.399906048995</v>
      </c>
      <c r="C37" s="14"/>
      <c r="D37" s="14" t="s">
        <v>115</v>
      </c>
      <c r="E37" s="14"/>
      <c r="F37" s="16"/>
      <c r="G37" s="12">
        <f>+B50</f>
        <v>-482072.82931646612</v>
      </c>
      <c r="H37" s="14"/>
      <c r="I37" s="14"/>
    </row>
    <row r="38" spans="1:11" x14ac:dyDescent="0.25">
      <c r="A38" s="14"/>
      <c r="B38" s="20"/>
      <c r="C38" s="14"/>
      <c r="D38" s="14" t="s">
        <v>49</v>
      </c>
      <c r="E38" s="14"/>
      <c r="F38" s="16"/>
      <c r="G38" s="12">
        <f>+B33</f>
        <v>764807.04108173656</v>
      </c>
      <c r="H38" s="14"/>
      <c r="I38" s="14"/>
    </row>
    <row r="39" spans="1:11" x14ac:dyDescent="0.25">
      <c r="A39" s="14" t="s">
        <v>33</v>
      </c>
      <c r="B39" s="12">
        <f>SUM(B24:B37)</f>
        <v>2744004.1962635629</v>
      </c>
      <c r="C39" s="14"/>
      <c r="D39" s="14" t="s">
        <v>30</v>
      </c>
      <c r="E39" s="14"/>
      <c r="F39" s="16"/>
      <c r="G39" s="12">
        <f>-B46</f>
        <v>1127412</v>
      </c>
      <c r="H39" s="14"/>
      <c r="I39" s="14"/>
    </row>
    <row r="40" spans="1:11" x14ac:dyDescent="0.25">
      <c r="A40" s="14"/>
      <c r="B40" s="12"/>
      <c r="C40" s="14"/>
      <c r="D40" s="14"/>
      <c r="E40" s="14"/>
      <c r="F40" s="16"/>
      <c r="G40" s="12"/>
      <c r="H40" s="14"/>
      <c r="I40" s="14"/>
    </row>
    <row r="41" spans="1:11" x14ac:dyDescent="0.25">
      <c r="A41" s="17" t="s">
        <v>35</v>
      </c>
      <c r="B41" s="30">
        <f>+B21-B39</f>
        <v>157482.59473643685</v>
      </c>
      <c r="C41" s="14"/>
      <c r="D41" s="14" t="s">
        <v>116</v>
      </c>
      <c r="E41" s="14"/>
      <c r="F41" s="16"/>
      <c r="G41" s="12">
        <f>SUM(G37:G40)</f>
        <v>1410146.2117652704</v>
      </c>
      <c r="H41" s="14"/>
      <c r="I41" s="14"/>
    </row>
    <row r="42" spans="1:11" x14ac:dyDescent="0.25">
      <c r="A42" s="14"/>
      <c r="B42" s="12"/>
      <c r="C42" s="14"/>
      <c r="D42" s="14" t="s">
        <v>117</v>
      </c>
      <c r="E42" s="14"/>
      <c r="F42" s="16"/>
      <c r="G42" s="12">
        <f>+B32+B33</f>
        <v>1182200.3670288336</v>
      </c>
      <c r="H42" s="14"/>
      <c r="I42" s="14"/>
    </row>
    <row r="43" spans="1:11" x14ac:dyDescent="0.25">
      <c r="A43" s="14"/>
      <c r="B43" s="12"/>
      <c r="C43" s="14"/>
      <c r="D43" s="14"/>
      <c r="E43" s="14"/>
      <c r="F43" s="16"/>
      <c r="G43" s="16"/>
      <c r="H43" s="14"/>
      <c r="I43" s="14"/>
    </row>
    <row r="44" spans="1:11" x14ac:dyDescent="0.25">
      <c r="A44" s="14" t="s">
        <v>36</v>
      </c>
      <c r="B44" s="12"/>
      <c r="C44" s="14"/>
      <c r="D44" s="17" t="s">
        <v>119</v>
      </c>
      <c r="E44" s="17"/>
      <c r="F44" s="19"/>
      <c r="G44" s="19">
        <f>+G41/G42</f>
        <v>1.1928148993129837</v>
      </c>
      <c r="H44" s="14"/>
      <c r="I44" s="14"/>
    </row>
    <row r="45" spans="1:11" x14ac:dyDescent="0.25">
      <c r="A45" s="14"/>
      <c r="B45" s="12"/>
      <c r="C45" s="14"/>
      <c r="D45" s="14"/>
      <c r="E45" s="14"/>
      <c r="F45" s="16"/>
      <c r="G45" s="16"/>
      <c r="H45" s="14"/>
      <c r="I45" s="14"/>
    </row>
    <row r="46" spans="1:11" x14ac:dyDescent="0.25">
      <c r="A46" s="14" t="s">
        <v>30</v>
      </c>
      <c r="B46" s="12">
        <f>-B6*0.04</f>
        <v>-1127412</v>
      </c>
      <c r="C46" s="14"/>
      <c r="D46" s="14"/>
      <c r="E46" s="14"/>
      <c r="F46" s="16"/>
      <c r="G46" s="16"/>
      <c r="H46" s="14"/>
      <c r="I46" s="14"/>
    </row>
    <row r="47" spans="1:11" x14ac:dyDescent="0.25">
      <c r="A47" s="14" t="s">
        <v>28</v>
      </c>
      <c r="B47" s="12">
        <f>+B32</f>
        <v>417393.3259470971</v>
      </c>
      <c r="C47" s="14"/>
      <c r="D47" s="14"/>
      <c r="E47" s="14"/>
      <c r="F47" s="16"/>
      <c r="G47" s="16"/>
      <c r="H47" s="14"/>
      <c r="I47" s="14"/>
    </row>
    <row r="48" spans="1:11" x14ac:dyDescent="0.25">
      <c r="A48" s="14" t="s">
        <v>26</v>
      </c>
      <c r="B48" s="12">
        <f>+B29</f>
        <v>70463.25</v>
      </c>
      <c r="C48" s="14"/>
      <c r="D48" s="14"/>
      <c r="E48" s="14"/>
      <c r="F48" s="16"/>
      <c r="G48" s="16"/>
      <c r="H48" s="14"/>
      <c r="I48" s="14"/>
    </row>
    <row r="49" spans="1:9" x14ac:dyDescent="0.25">
      <c r="A49" s="14"/>
      <c r="B49" s="12"/>
      <c r="C49" s="14"/>
      <c r="D49" s="14"/>
      <c r="E49" s="14"/>
      <c r="F49" s="16"/>
      <c r="G49" s="16"/>
      <c r="H49" s="14"/>
      <c r="I49" s="14"/>
    </row>
    <row r="50" spans="1:9" x14ac:dyDescent="0.25">
      <c r="A50" s="17" t="s">
        <v>37</v>
      </c>
      <c r="B50" s="30">
        <f>SUM(B41:B48)</f>
        <v>-482072.82931646612</v>
      </c>
      <c r="C50" s="14"/>
      <c r="D50" s="14"/>
      <c r="E50" s="14"/>
      <c r="F50" s="16"/>
      <c r="G50" s="16"/>
      <c r="H50" s="14"/>
      <c r="I50" s="14"/>
    </row>
    <row r="51" spans="1:9" x14ac:dyDescent="0.25">
      <c r="A51" s="14"/>
      <c r="B51" s="12"/>
      <c r="C51" s="14"/>
      <c r="D51" s="14"/>
      <c r="E51" s="14"/>
      <c r="F51" s="16"/>
      <c r="G51" s="16"/>
      <c r="H51" s="14"/>
      <c r="I51" s="14"/>
    </row>
  </sheetData>
  <sheetProtection sheet="1" objects="1" scenarios="1"/>
  <pageMargins left="0.7" right="0.7" top="0.75" bottom="0.75" header="0.3" footer="0.3"/>
  <pageSetup scale="81" orientation="portrait" r:id="rId1"/>
  <ignoredErrors>
    <ignoredError sqref="B2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6"/>
  <sheetViews>
    <sheetView workbookViewId="0">
      <selection activeCell="D22" sqref="D22"/>
    </sheetView>
  </sheetViews>
  <sheetFormatPr defaultRowHeight="15" x14ac:dyDescent="0.25"/>
  <cols>
    <col min="1" max="1" width="25.28515625" customWidth="1"/>
    <col min="2" max="4" width="13" customWidth="1"/>
  </cols>
  <sheetData>
    <row r="1" spans="1:4" x14ac:dyDescent="0.25">
      <c r="A1" t="s">
        <v>64</v>
      </c>
    </row>
    <row r="2" spans="1:4" s="4" customFormat="1" x14ac:dyDescent="0.25"/>
    <row r="3" spans="1:4" s="4" customFormat="1" x14ac:dyDescent="0.25">
      <c r="A3" s="4" t="s">
        <v>65</v>
      </c>
      <c r="B3" s="6">
        <f>+Financials!B8</f>
        <v>35185300</v>
      </c>
    </row>
    <row r="4" spans="1:4" s="4" customFormat="1" x14ac:dyDescent="0.25">
      <c r="A4" s="4" t="s">
        <v>17</v>
      </c>
      <c r="B4" s="6">
        <f>+Financials!G9</f>
        <v>6000000.2999999998</v>
      </c>
    </row>
    <row r="5" spans="1:4" s="4" customFormat="1" x14ac:dyDescent="0.25">
      <c r="A5" s="4" t="s">
        <v>67</v>
      </c>
      <c r="B5" s="6">
        <f>+Financials!G10</f>
        <v>4000000</v>
      </c>
    </row>
    <row r="6" spans="1:4" s="4" customFormat="1" x14ac:dyDescent="0.25">
      <c r="A6" s="4" t="s">
        <v>103</v>
      </c>
      <c r="B6" s="6">
        <f>+Financials!G11</f>
        <v>7000000</v>
      </c>
    </row>
    <row r="7" spans="1:4" x14ac:dyDescent="0.25">
      <c r="B7" s="6"/>
    </row>
    <row r="8" spans="1:4" x14ac:dyDescent="0.25">
      <c r="A8" s="4" t="s">
        <v>66</v>
      </c>
      <c r="B8" s="6">
        <f>+B3-B4-B5-B6</f>
        <v>18185299.699999999</v>
      </c>
      <c r="C8" s="4"/>
      <c r="D8" s="4"/>
    </row>
    <row r="9" spans="1:4" x14ac:dyDescent="0.25">
      <c r="A9" s="4" t="s">
        <v>41</v>
      </c>
      <c r="B9" s="5">
        <f>+Financials!I12</f>
        <v>4.2500000000000003E-2</v>
      </c>
      <c r="C9" s="4"/>
      <c r="D9" s="4"/>
    </row>
    <row r="10" spans="1:4" x14ac:dyDescent="0.25">
      <c r="A10" s="4" t="s">
        <v>42</v>
      </c>
      <c r="B10" s="4">
        <v>25</v>
      </c>
      <c r="C10" s="4"/>
      <c r="D10" s="4"/>
    </row>
    <row r="11" spans="1:4" x14ac:dyDescent="0.25">
      <c r="A11" s="4" t="s">
        <v>43</v>
      </c>
      <c r="B11" s="4">
        <v>12</v>
      </c>
      <c r="C11" s="4"/>
      <c r="D11" s="4"/>
    </row>
    <row r="12" spans="1:4" x14ac:dyDescent="0.25">
      <c r="A12" s="4" t="s">
        <v>44</v>
      </c>
      <c r="B12" s="4">
        <f>+B10*B11</f>
        <v>300</v>
      </c>
      <c r="C12" s="4"/>
      <c r="D12" s="4"/>
    </row>
    <row r="13" spans="1:4" x14ac:dyDescent="0.25">
      <c r="A13" s="4" t="s">
        <v>45</v>
      </c>
      <c r="B13" s="6">
        <f>-PMT(B9/B11,B12,B8,0)</f>
        <v>98516.69725240281</v>
      </c>
      <c r="C13" s="4"/>
      <c r="D13" s="4"/>
    </row>
    <row r="14" spans="1:4" x14ac:dyDescent="0.25">
      <c r="A14" s="4" t="s">
        <v>46</v>
      </c>
      <c r="B14" s="6">
        <f>+B13*12</f>
        <v>1182200.3670288338</v>
      </c>
      <c r="C14" s="4"/>
      <c r="D14" s="4"/>
    </row>
    <row r="15" spans="1:4" x14ac:dyDescent="0.25">
      <c r="A15" s="4" t="s">
        <v>47</v>
      </c>
      <c r="B15" s="6">
        <f>+B14*B10</f>
        <v>29555009.175720844</v>
      </c>
      <c r="C15" s="4"/>
      <c r="D15" s="4"/>
    </row>
    <row r="16" spans="1:4" x14ac:dyDescent="0.25">
      <c r="A16" s="4" t="s">
        <v>48</v>
      </c>
      <c r="B16" s="6">
        <f>+B15-B8</f>
        <v>11369709.475720845</v>
      </c>
      <c r="C16" s="4"/>
      <c r="D16" s="4"/>
    </row>
    <row r="19" spans="1:4" x14ac:dyDescent="0.25">
      <c r="A19" s="4"/>
      <c r="B19" s="6" t="s">
        <v>49</v>
      </c>
      <c r="C19" s="6" t="s">
        <v>50</v>
      </c>
      <c r="D19" s="6" t="s">
        <v>51</v>
      </c>
    </row>
    <row r="20" spans="1:4" x14ac:dyDescent="0.25">
      <c r="A20" s="4" t="s">
        <v>52</v>
      </c>
      <c r="B20" s="6">
        <f>+B8*B9/12</f>
        <v>64406.269770833336</v>
      </c>
      <c r="C20" s="6">
        <f>+$B$13-B20</f>
        <v>34110.427481569473</v>
      </c>
      <c r="D20" s="6">
        <f>+B8-C20</f>
        <v>18151189.27251843</v>
      </c>
    </row>
    <row r="21" spans="1:4" x14ac:dyDescent="0.25">
      <c r="A21" s="4" t="s">
        <v>53</v>
      </c>
      <c r="B21" s="6">
        <f>+D20*$B$9/12</f>
        <v>64285.462006836111</v>
      </c>
      <c r="C21" s="6">
        <f>+$B$13-B21</f>
        <v>34231.235245566699</v>
      </c>
      <c r="D21" s="6">
        <f>+D20-C21</f>
        <v>18116958.037272863</v>
      </c>
    </row>
    <row r="22" spans="1:4" x14ac:dyDescent="0.25">
      <c r="A22" s="4" t="s">
        <v>54</v>
      </c>
      <c r="B22" s="6">
        <f t="shared" ref="B22:B31" si="0">+D21*$B$9/12</f>
        <v>64164.226382008063</v>
      </c>
      <c r="C22" s="6">
        <f t="shared" ref="C22:C31" si="1">+$B$13-B22</f>
        <v>34352.470870394747</v>
      </c>
      <c r="D22" s="6">
        <f t="shared" ref="D22:D31" si="2">+D21-C22</f>
        <v>18082605.566402469</v>
      </c>
    </row>
    <row r="23" spans="1:4" x14ac:dyDescent="0.25">
      <c r="A23" s="4" t="s">
        <v>55</v>
      </c>
      <c r="B23" s="6">
        <f t="shared" si="0"/>
        <v>64042.561381008745</v>
      </c>
      <c r="C23" s="6">
        <f t="shared" si="1"/>
        <v>34474.135871394064</v>
      </c>
      <c r="D23" s="6">
        <f t="shared" si="2"/>
        <v>18048131.430531073</v>
      </c>
    </row>
    <row r="24" spans="1:4" x14ac:dyDescent="0.25">
      <c r="A24" s="4" t="s">
        <v>56</v>
      </c>
      <c r="B24" s="6">
        <f t="shared" si="0"/>
        <v>63920.465483130887</v>
      </c>
      <c r="C24" s="6">
        <f t="shared" si="1"/>
        <v>34596.231769271923</v>
      </c>
      <c r="D24" s="6">
        <f t="shared" si="2"/>
        <v>18013535.198761802</v>
      </c>
    </row>
    <row r="25" spans="1:4" x14ac:dyDescent="0.25">
      <c r="A25" s="4" t="s">
        <v>57</v>
      </c>
      <c r="B25" s="6">
        <f t="shared" si="0"/>
        <v>63797.937162281385</v>
      </c>
      <c r="C25" s="6">
        <f t="shared" si="1"/>
        <v>34718.760090121425</v>
      </c>
      <c r="D25" s="6">
        <f t="shared" si="2"/>
        <v>17978816.438671682</v>
      </c>
    </row>
    <row r="26" spans="1:4" x14ac:dyDescent="0.25">
      <c r="A26" s="4" t="s">
        <v>58</v>
      </c>
      <c r="B26" s="6">
        <f t="shared" si="0"/>
        <v>63674.974886962213</v>
      </c>
      <c r="C26" s="6">
        <f t="shared" si="1"/>
        <v>34841.722365440597</v>
      </c>
      <c r="D26" s="6">
        <f t="shared" si="2"/>
        <v>17943974.716306243</v>
      </c>
    </row>
    <row r="27" spans="1:4" x14ac:dyDescent="0.25">
      <c r="A27" s="4" t="s">
        <v>59</v>
      </c>
      <c r="B27" s="6">
        <f t="shared" si="0"/>
        <v>63551.577120251284</v>
      </c>
      <c r="C27" s="6">
        <f t="shared" si="1"/>
        <v>34965.120132151525</v>
      </c>
      <c r="D27" s="6">
        <f t="shared" si="2"/>
        <v>17909009.596174091</v>
      </c>
    </row>
    <row r="28" spans="1:4" x14ac:dyDescent="0.25">
      <c r="A28" s="4" t="s">
        <v>60</v>
      </c>
      <c r="B28" s="6">
        <f t="shared" si="0"/>
        <v>63427.742319783247</v>
      </c>
      <c r="C28" s="6">
        <f t="shared" si="1"/>
        <v>35088.954932619563</v>
      </c>
      <c r="D28" s="6">
        <f t="shared" si="2"/>
        <v>17873920.641241472</v>
      </c>
    </row>
    <row r="29" spans="1:4" x14ac:dyDescent="0.25">
      <c r="A29" s="4" t="s">
        <v>61</v>
      </c>
      <c r="B29" s="6">
        <f t="shared" si="0"/>
        <v>63303.46893773022</v>
      </c>
      <c r="C29" s="6">
        <f t="shared" si="1"/>
        <v>35213.228314672589</v>
      </c>
      <c r="D29" s="6">
        <f t="shared" si="2"/>
        <v>17838707.412926801</v>
      </c>
    </row>
    <row r="30" spans="1:4" x14ac:dyDescent="0.25">
      <c r="A30" s="4" t="s">
        <v>62</v>
      </c>
      <c r="B30" s="6">
        <f t="shared" si="0"/>
        <v>63178.755420782421</v>
      </c>
      <c r="C30" s="6">
        <f t="shared" si="1"/>
        <v>35337.941831620388</v>
      </c>
      <c r="D30" s="6">
        <f t="shared" si="2"/>
        <v>17803369.471095182</v>
      </c>
    </row>
    <row r="31" spans="1:4" x14ac:dyDescent="0.25">
      <c r="A31" s="4" t="s">
        <v>63</v>
      </c>
      <c r="B31" s="6">
        <f t="shared" si="0"/>
        <v>63053.600210128781</v>
      </c>
      <c r="C31" s="6">
        <f t="shared" si="1"/>
        <v>35463.097042274028</v>
      </c>
      <c r="D31" s="6">
        <f t="shared" si="2"/>
        <v>17767906.374052908</v>
      </c>
    </row>
    <row r="32" spans="1:4" x14ac:dyDescent="0.25">
      <c r="A32" s="4"/>
      <c r="B32" s="6"/>
      <c r="C32" s="6"/>
      <c r="D32" s="6"/>
    </row>
    <row r="33" spans="1:4" x14ac:dyDescent="0.25">
      <c r="A33" s="4"/>
      <c r="B33" s="6">
        <f>SUM(B20:B32)</f>
        <v>764807.04108173656</v>
      </c>
      <c r="C33" s="6">
        <f>SUM(C20:C32)</f>
        <v>417393.3259470971</v>
      </c>
      <c r="D33" s="6"/>
    </row>
    <row r="34" spans="1:4" x14ac:dyDescent="0.25">
      <c r="A34" s="4"/>
      <c r="B34" s="6"/>
      <c r="C34" s="6"/>
      <c r="D34" s="6"/>
    </row>
    <row r="35" spans="1:4" x14ac:dyDescent="0.25">
      <c r="A35" s="4"/>
      <c r="B35" s="6"/>
      <c r="C35" s="6"/>
      <c r="D35" s="6"/>
    </row>
    <row r="36" spans="1:4" x14ac:dyDescent="0.25">
      <c r="A36" s="4"/>
      <c r="B36" s="6"/>
      <c r="C36" s="6"/>
      <c r="D36" s="6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"/>
  <sheetViews>
    <sheetView workbookViewId="0">
      <selection activeCell="I27" sqref="I26:I27"/>
    </sheetView>
  </sheetViews>
  <sheetFormatPr defaultRowHeight="15" x14ac:dyDescent="0.25"/>
  <cols>
    <col min="1" max="1" width="37.85546875" customWidth="1"/>
    <col min="2" max="2" width="34.85546875" customWidth="1"/>
    <col min="3" max="3" width="14" style="6" customWidth="1"/>
    <col min="4" max="4" width="10.85546875" style="6" customWidth="1"/>
  </cols>
  <sheetData>
    <row r="1" spans="1:5" x14ac:dyDescent="0.25">
      <c r="A1" t="s">
        <v>72</v>
      </c>
      <c r="B1" t="s">
        <v>73</v>
      </c>
      <c r="C1" s="10" t="s">
        <v>74</v>
      </c>
      <c r="D1" s="10" t="s">
        <v>75</v>
      </c>
      <c r="E1" t="s">
        <v>108</v>
      </c>
    </row>
    <row r="3" spans="1:5" x14ac:dyDescent="0.25">
      <c r="A3" t="s">
        <v>21</v>
      </c>
      <c r="B3" t="s">
        <v>101</v>
      </c>
      <c r="C3" s="6">
        <f>0.01*Financials!B21</f>
        <v>29014.867909999997</v>
      </c>
      <c r="D3" s="6">
        <f>+C3*0.5</f>
        <v>14507.433954999999</v>
      </c>
    </row>
    <row r="5" spans="1:5" x14ac:dyDescent="0.25">
      <c r="A5" t="s">
        <v>76</v>
      </c>
      <c r="B5" t="s">
        <v>102</v>
      </c>
      <c r="C5" s="25">
        <v>80000</v>
      </c>
      <c r="D5" s="6">
        <f>+C5*E5</f>
        <v>40000</v>
      </c>
      <c r="E5" s="26">
        <v>0.5</v>
      </c>
    </row>
    <row r="6" spans="1:5" s="4" customFormat="1" x14ac:dyDescent="0.25">
      <c r="B6" s="4" t="s">
        <v>104</v>
      </c>
      <c r="C6" s="25">
        <v>60000</v>
      </c>
      <c r="D6" s="6">
        <f t="shared" ref="D6:D11" si="0">+C6*E6</f>
        <v>90000</v>
      </c>
      <c r="E6" s="26">
        <v>1.5</v>
      </c>
    </row>
    <row r="7" spans="1:5" x14ac:dyDescent="0.25">
      <c r="B7" t="s">
        <v>105</v>
      </c>
      <c r="C7" s="25">
        <v>75000</v>
      </c>
      <c r="D7" s="6">
        <f t="shared" si="0"/>
        <v>75000</v>
      </c>
      <c r="E7" s="26">
        <v>1</v>
      </c>
    </row>
    <row r="8" spans="1:5" x14ac:dyDescent="0.25">
      <c r="B8" t="s">
        <v>93</v>
      </c>
      <c r="C8" s="25">
        <v>50000</v>
      </c>
      <c r="D8" s="6">
        <f t="shared" si="0"/>
        <v>100000</v>
      </c>
      <c r="E8" s="26">
        <v>2</v>
      </c>
    </row>
    <row r="9" spans="1:5" x14ac:dyDescent="0.25">
      <c r="B9" t="s">
        <v>106</v>
      </c>
      <c r="C9" s="25">
        <v>65000</v>
      </c>
      <c r="D9" s="6">
        <f t="shared" si="0"/>
        <v>65000</v>
      </c>
      <c r="E9" s="26">
        <v>1</v>
      </c>
    </row>
    <row r="10" spans="1:5" s="4" customFormat="1" x14ac:dyDescent="0.25">
      <c r="B10" s="4" t="s">
        <v>107</v>
      </c>
      <c r="C10" s="25">
        <v>50000</v>
      </c>
      <c r="D10" s="6">
        <f t="shared" si="0"/>
        <v>200000</v>
      </c>
      <c r="E10" s="26">
        <v>4</v>
      </c>
    </row>
    <row r="11" spans="1:5" x14ac:dyDescent="0.25">
      <c r="B11" t="s">
        <v>100</v>
      </c>
      <c r="C11" s="25">
        <v>80000</v>
      </c>
      <c r="D11" s="6">
        <f t="shared" si="0"/>
        <v>40000</v>
      </c>
      <c r="E11" s="26">
        <v>0.5</v>
      </c>
    </row>
    <row r="13" spans="1:5" x14ac:dyDescent="0.25">
      <c r="B13" t="s">
        <v>77</v>
      </c>
      <c r="D13" s="6">
        <f>SUM(D5:D12)</f>
        <v>610000</v>
      </c>
    </row>
    <row r="15" spans="1:5" x14ac:dyDescent="0.25">
      <c r="A15" t="s">
        <v>23</v>
      </c>
      <c r="B15" t="s">
        <v>98</v>
      </c>
      <c r="D15" s="6">
        <f>0.01*Financials!B6</f>
        <v>281853</v>
      </c>
    </row>
    <row r="16" spans="1:5" s="4" customFormat="1" x14ac:dyDescent="0.25">
      <c r="C16" s="6"/>
      <c r="D16" s="6"/>
    </row>
    <row r="17" spans="1:4" s="4" customFormat="1" x14ac:dyDescent="0.25">
      <c r="C17" s="6"/>
      <c r="D17" s="6"/>
    </row>
    <row r="18" spans="1:4" s="4" customFormat="1" x14ac:dyDescent="0.25">
      <c r="A18" s="4" t="s">
        <v>27</v>
      </c>
      <c r="B18" s="4" t="s">
        <v>109</v>
      </c>
      <c r="C18" s="6"/>
      <c r="D18" s="6">
        <f>0.001*Financials!B6</f>
        <v>28185.3</v>
      </c>
    </row>
    <row r="20" spans="1:4" x14ac:dyDescent="0.25">
      <c r="A20" t="s">
        <v>24</v>
      </c>
      <c r="B20" t="s">
        <v>78</v>
      </c>
      <c r="C20" s="6">
        <f>0.00333333*Financials!B6</f>
        <v>93950.906048999997</v>
      </c>
    </row>
    <row r="21" spans="1:4" x14ac:dyDescent="0.25">
      <c r="B21" t="s">
        <v>79</v>
      </c>
      <c r="C21" s="6">
        <f>+C20*0.4</f>
        <v>37580.362419600002</v>
      </c>
    </row>
    <row r="22" spans="1:4" x14ac:dyDescent="0.25">
      <c r="B22" t="s">
        <v>80</v>
      </c>
      <c r="C22" s="6">
        <f>+C20*0.45</f>
        <v>42277.907722049997</v>
      </c>
    </row>
    <row r="23" spans="1:4" x14ac:dyDescent="0.25">
      <c r="B23" t="s">
        <v>81</v>
      </c>
      <c r="C23" s="6">
        <f>+C20*0.07</f>
        <v>6576.5634234300005</v>
      </c>
    </row>
    <row r="24" spans="1:4" x14ac:dyDescent="0.25">
      <c r="B24" t="s">
        <v>82</v>
      </c>
      <c r="C24" s="6">
        <f>+C20*0.4</f>
        <v>37580.362419600002</v>
      </c>
    </row>
    <row r="26" spans="1:4" x14ac:dyDescent="0.25">
      <c r="D26" s="6">
        <f>SUM(C20:C25)</f>
        <v>217966.10203368001</v>
      </c>
    </row>
    <row r="28" spans="1:4" x14ac:dyDescent="0.25">
      <c r="A28" t="s">
        <v>83</v>
      </c>
      <c r="B28" t="s">
        <v>84</v>
      </c>
      <c r="D28" s="6">
        <f>+Financials!B6*0.00125</f>
        <v>35231.625</v>
      </c>
    </row>
    <row r="30" spans="1:4" x14ac:dyDescent="0.25">
      <c r="A30" t="s">
        <v>26</v>
      </c>
      <c r="B30" t="s">
        <v>85</v>
      </c>
      <c r="D30" s="6">
        <f>+Financials!B6*0.0025</f>
        <v>70463.25</v>
      </c>
    </row>
    <row r="32" spans="1:4" x14ac:dyDescent="0.25">
      <c r="A32" t="s">
        <v>86</v>
      </c>
      <c r="D32" s="6">
        <f>+Financials!B6*0.00025</f>
        <v>7046.3249999999998</v>
      </c>
    </row>
    <row r="34" spans="1:4" x14ac:dyDescent="0.25">
      <c r="A34" t="s">
        <v>87</v>
      </c>
      <c r="D34" s="6">
        <f>+Financials!B6*0.0002</f>
        <v>5637.06</v>
      </c>
    </row>
    <row r="36" spans="1:4" x14ac:dyDescent="0.25">
      <c r="A36" t="s">
        <v>88</v>
      </c>
      <c r="D36" s="6">
        <f>+Financials!B6*0.00133333333</f>
        <v>37580.399906048995</v>
      </c>
    </row>
    <row r="38" spans="1:4" x14ac:dyDescent="0.25">
      <c r="A38" t="s">
        <v>96</v>
      </c>
      <c r="B38" t="s">
        <v>97</v>
      </c>
      <c r="D38" s="6">
        <f>+D10*0.6666666667</f>
        <v>133333.33333999998</v>
      </c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Financials</vt:lpstr>
      <vt:lpstr>Mortgage</vt:lpstr>
      <vt:lpstr>Assumptions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Baker</dc:creator>
  <cp:lastModifiedBy>Darren Sinke</cp:lastModifiedBy>
  <cp:lastPrinted>2020-02-05T15:00:28Z</cp:lastPrinted>
  <dcterms:created xsi:type="dcterms:W3CDTF">2019-11-25T22:28:05Z</dcterms:created>
  <dcterms:modified xsi:type="dcterms:W3CDTF">2020-04-06T17:05:00Z</dcterms:modified>
</cp:coreProperties>
</file>