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by\Documents\Emmanuel Home\Board\Orientation Manual\"/>
    </mc:Choice>
  </mc:AlternateContent>
  <bookViews>
    <workbookView xWindow="0" yWindow="0" windowWidth="23040" windowHeight="9252"/>
  </bookViews>
  <sheets>
    <sheet name="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1" l="1"/>
  <c r="G229" i="1" s="1"/>
  <c r="H229" i="1" s="1"/>
  <c r="I229" i="1" s="1"/>
  <c r="D228" i="1"/>
  <c r="E228" i="1" s="1"/>
  <c r="C228" i="1"/>
  <c r="C230" i="1" s="1"/>
  <c r="B228" i="1"/>
  <c r="B230" i="1" s="1"/>
  <c r="I216" i="1"/>
  <c r="I218" i="1" s="1"/>
  <c r="I220" i="1" s="1"/>
  <c r="H216" i="1"/>
  <c r="H218" i="1" s="1"/>
  <c r="H220" i="1" s="1"/>
  <c r="G216" i="1"/>
  <c r="G218" i="1" s="1"/>
  <c r="G220" i="1" s="1"/>
  <c r="F216" i="1"/>
  <c r="F218" i="1" s="1"/>
  <c r="F220" i="1" s="1"/>
  <c r="E216" i="1"/>
  <c r="E218" i="1" s="1"/>
  <c r="E220" i="1" s="1"/>
  <c r="D216" i="1"/>
  <c r="D218" i="1" s="1"/>
  <c r="D220" i="1" s="1"/>
  <c r="C216" i="1"/>
  <c r="C218" i="1" s="1"/>
  <c r="C220" i="1" s="1"/>
  <c r="B216" i="1"/>
  <c r="B218" i="1" s="1"/>
  <c r="B220" i="1" s="1"/>
  <c r="C210" i="1"/>
  <c r="B210" i="1"/>
  <c r="B209" i="1"/>
  <c r="I200" i="1"/>
  <c r="I201" i="1" s="1"/>
  <c r="H200" i="1"/>
  <c r="H201" i="1" s="1"/>
  <c r="G200" i="1"/>
  <c r="G201" i="1" s="1"/>
  <c r="F200" i="1"/>
  <c r="F201" i="1" s="1"/>
  <c r="E200" i="1"/>
  <c r="E201" i="1" s="1"/>
  <c r="C200" i="1"/>
  <c r="C201" i="1" s="1"/>
  <c r="B200" i="1"/>
  <c r="B201" i="1" s="1"/>
  <c r="D199" i="1"/>
  <c r="D198" i="1"/>
  <c r="D197" i="1"/>
  <c r="D196" i="1"/>
  <c r="D195" i="1"/>
  <c r="D194" i="1"/>
  <c r="D193" i="1"/>
  <c r="D192" i="1"/>
  <c r="D191" i="1"/>
  <c r="D190" i="1"/>
  <c r="D200" i="1" s="1"/>
  <c r="D189" i="1"/>
  <c r="D201" i="1" s="1"/>
  <c r="F185" i="1"/>
  <c r="C185" i="1"/>
  <c r="C186" i="1" s="1"/>
  <c r="B185" i="1"/>
  <c r="D184" i="1"/>
  <c r="D183" i="1"/>
  <c r="D182" i="1"/>
  <c r="D180" i="1"/>
  <c r="D179" i="1"/>
  <c r="I178" i="1"/>
  <c r="H178" i="1"/>
  <c r="G178" i="1"/>
  <c r="F178" i="1"/>
  <c r="E178" i="1"/>
  <c r="D178" i="1"/>
  <c r="I177" i="1"/>
  <c r="H177" i="1"/>
  <c r="G177" i="1"/>
  <c r="F177" i="1"/>
  <c r="E177" i="1"/>
  <c r="D177" i="1"/>
  <c r="I176" i="1"/>
  <c r="H176" i="1"/>
  <c r="G176" i="1"/>
  <c r="F176" i="1"/>
  <c r="E176" i="1"/>
  <c r="D176" i="1"/>
  <c r="I175" i="1"/>
  <c r="H175" i="1"/>
  <c r="G175" i="1"/>
  <c r="F175" i="1"/>
  <c r="E175" i="1"/>
  <c r="D175" i="1"/>
  <c r="I174" i="1"/>
  <c r="H174" i="1"/>
  <c r="G174" i="1"/>
  <c r="G185" i="1" s="1"/>
  <c r="F174" i="1"/>
  <c r="E174" i="1"/>
  <c r="D174" i="1"/>
  <c r="I173" i="1"/>
  <c r="H173" i="1"/>
  <c r="G173" i="1"/>
  <c r="F173" i="1"/>
  <c r="E173" i="1"/>
  <c r="D173" i="1"/>
  <c r="D172" i="1"/>
  <c r="D171" i="1"/>
  <c r="I170" i="1"/>
  <c r="I185" i="1" s="1"/>
  <c r="I186" i="1" s="1"/>
  <c r="H170" i="1"/>
  <c r="H185" i="1" s="1"/>
  <c r="H186" i="1" s="1"/>
  <c r="G170" i="1"/>
  <c r="F170" i="1"/>
  <c r="E170" i="1"/>
  <c r="E185" i="1" s="1"/>
  <c r="E186" i="1" s="1"/>
  <c r="D170" i="1"/>
  <c r="D185" i="1" s="1"/>
  <c r="D186" i="1" s="1"/>
  <c r="C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B166" i="1"/>
  <c r="B169" i="1" s="1"/>
  <c r="C163" i="1"/>
  <c r="B163" i="1"/>
  <c r="I162" i="1"/>
  <c r="H162" i="1"/>
  <c r="G162" i="1"/>
  <c r="F162" i="1"/>
  <c r="E162" i="1"/>
  <c r="D162" i="1"/>
  <c r="I160" i="1"/>
  <c r="H160" i="1"/>
  <c r="G160" i="1"/>
  <c r="F160" i="1"/>
  <c r="E160" i="1"/>
  <c r="D160" i="1"/>
  <c r="I159" i="1"/>
  <c r="H159" i="1"/>
  <c r="G159" i="1"/>
  <c r="F159" i="1"/>
  <c r="F163" i="1" s="1"/>
  <c r="E159" i="1"/>
  <c r="D159" i="1"/>
  <c r="B159" i="1"/>
  <c r="I158" i="1"/>
  <c r="H158" i="1"/>
  <c r="G158" i="1"/>
  <c r="F158" i="1"/>
  <c r="E158" i="1"/>
  <c r="D158" i="1"/>
  <c r="I157" i="1"/>
  <c r="H157" i="1"/>
  <c r="G157" i="1"/>
  <c r="F157" i="1"/>
  <c r="E157" i="1"/>
  <c r="D157" i="1"/>
  <c r="I156" i="1"/>
  <c r="H156" i="1"/>
  <c r="G156" i="1"/>
  <c r="F156" i="1"/>
  <c r="E156" i="1"/>
  <c r="D156" i="1"/>
  <c r="I155" i="1"/>
  <c r="H155" i="1"/>
  <c r="G155" i="1"/>
  <c r="F155" i="1"/>
  <c r="E155" i="1"/>
  <c r="D155" i="1"/>
  <c r="I154" i="1"/>
  <c r="H154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I163" i="1" s="1"/>
  <c r="H147" i="1"/>
  <c r="H163" i="1" s="1"/>
  <c r="G147" i="1"/>
  <c r="G163" i="1" s="1"/>
  <c r="F147" i="1"/>
  <c r="E147" i="1"/>
  <c r="E163" i="1" s="1"/>
  <c r="D147" i="1"/>
  <c r="D163" i="1" s="1"/>
  <c r="C144" i="1"/>
  <c r="B144" i="1"/>
  <c r="I143" i="1"/>
  <c r="H143" i="1"/>
  <c r="G143" i="1"/>
  <c r="F143" i="1"/>
  <c r="E143" i="1"/>
  <c r="D143" i="1"/>
  <c r="I141" i="1"/>
  <c r="H141" i="1"/>
  <c r="G141" i="1"/>
  <c r="F141" i="1"/>
  <c r="E141" i="1"/>
  <c r="D141" i="1"/>
  <c r="I140" i="1"/>
  <c r="I144" i="1" s="1"/>
  <c r="I18" i="1" s="1"/>
  <c r="H140" i="1"/>
  <c r="G140" i="1"/>
  <c r="F140" i="1"/>
  <c r="F144" i="1" s="1"/>
  <c r="F18" i="1" s="1"/>
  <c r="E140" i="1"/>
  <c r="E144" i="1" s="1"/>
  <c r="E18" i="1" s="1"/>
  <c r="D140" i="1"/>
  <c r="I139" i="1"/>
  <c r="H139" i="1"/>
  <c r="H144" i="1" s="1"/>
  <c r="H18" i="1" s="1"/>
  <c r="G139" i="1"/>
  <c r="G144" i="1" s="1"/>
  <c r="G18" i="1" s="1"/>
  <c r="F139" i="1"/>
  <c r="E139" i="1"/>
  <c r="D139" i="1"/>
  <c r="D144" i="1" s="1"/>
  <c r="I136" i="1"/>
  <c r="H136" i="1"/>
  <c r="G136" i="1"/>
  <c r="F136" i="1"/>
  <c r="E136" i="1"/>
  <c r="C136" i="1"/>
  <c r="B136" i="1"/>
  <c r="D134" i="1"/>
  <c r="D132" i="1"/>
  <c r="D136" i="1" s="1"/>
  <c r="C129" i="1"/>
  <c r="B129" i="1"/>
  <c r="I128" i="1"/>
  <c r="H128" i="1"/>
  <c r="G128" i="1"/>
  <c r="F128" i="1"/>
  <c r="E128" i="1"/>
  <c r="D128" i="1"/>
  <c r="D127" i="1"/>
  <c r="D126" i="1"/>
  <c r="D125" i="1"/>
  <c r="I123" i="1"/>
  <c r="H123" i="1"/>
  <c r="H129" i="1" s="1"/>
  <c r="E123" i="1"/>
  <c r="D123" i="1"/>
  <c r="D129" i="1" s="1"/>
  <c r="I122" i="1"/>
  <c r="I129" i="1" s="1"/>
  <c r="H122" i="1"/>
  <c r="G122" i="1"/>
  <c r="G123" i="1" s="1"/>
  <c r="G129" i="1" s="1"/>
  <c r="F122" i="1"/>
  <c r="E122" i="1"/>
  <c r="E129" i="1" s="1"/>
  <c r="D122" i="1"/>
  <c r="I119" i="1"/>
  <c r="H119" i="1"/>
  <c r="G119" i="1"/>
  <c r="F119" i="1"/>
  <c r="E119" i="1"/>
  <c r="D118" i="1"/>
  <c r="C118" i="1"/>
  <c r="B118" i="1"/>
  <c r="D117" i="1"/>
  <c r="C117" i="1"/>
  <c r="B117" i="1"/>
  <c r="D116" i="1"/>
  <c r="D115" i="1"/>
  <c r="C115" i="1"/>
  <c r="B115" i="1"/>
  <c r="D114" i="1"/>
  <c r="C114" i="1"/>
  <c r="B114" i="1"/>
  <c r="B119" i="1" s="1"/>
  <c r="D113" i="1"/>
  <c r="D119" i="1" s="1"/>
  <c r="C113" i="1"/>
  <c r="C119" i="1" s="1"/>
  <c r="D112" i="1"/>
  <c r="D108" i="1"/>
  <c r="C108" i="1"/>
  <c r="D107" i="1"/>
  <c r="C107" i="1"/>
  <c r="I106" i="1"/>
  <c r="I210" i="1" s="1"/>
  <c r="H106" i="1"/>
  <c r="H210" i="1" s="1"/>
  <c r="G106" i="1"/>
  <c r="G210" i="1" s="1"/>
  <c r="F106" i="1"/>
  <c r="F210" i="1" s="1"/>
  <c r="E106" i="1"/>
  <c r="E210" i="1" s="1"/>
  <c r="D106" i="1"/>
  <c r="D210" i="1" s="1"/>
  <c r="I105" i="1"/>
  <c r="H105" i="1"/>
  <c r="G105" i="1"/>
  <c r="F105" i="1"/>
  <c r="E105" i="1"/>
  <c r="D105" i="1"/>
  <c r="C105" i="1"/>
  <c r="I104" i="1"/>
  <c r="I209" i="1" s="1"/>
  <c r="H104" i="1"/>
  <c r="H209" i="1" s="1"/>
  <c r="G104" i="1"/>
  <c r="G209" i="1" s="1"/>
  <c r="F104" i="1"/>
  <c r="F209" i="1" s="1"/>
  <c r="E104" i="1"/>
  <c r="E209" i="1" s="1"/>
  <c r="D104" i="1"/>
  <c r="D209" i="1" s="1"/>
  <c r="I103" i="1"/>
  <c r="H103" i="1"/>
  <c r="G103" i="1"/>
  <c r="F103" i="1"/>
  <c r="E103" i="1"/>
  <c r="D103" i="1"/>
  <c r="D102" i="1"/>
  <c r="C102" i="1"/>
  <c r="C209" i="1" s="1"/>
  <c r="I100" i="1"/>
  <c r="H100" i="1"/>
  <c r="G100" i="1"/>
  <c r="F100" i="1"/>
  <c r="E100" i="1"/>
  <c r="D100" i="1"/>
  <c r="I99" i="1"/>
  <c r="H99" i="1"/>
  <c r="G99" i="1"/>
  <c r="F99" i="1"/>
  <c r="E99" i="1"/>
  <c r="D99" i="1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D94" i="1"/>
  <c r="D233" i="1" s="1"/>
  <c r="C94" i="1"/>
  <c r="C109" i="1" s="1"/>
  <c r="I93" i="1"/>
  <c r="H93" i="1"/>
  <c r="G93" i="1"/>
  <c r="F93" i="1"/>
  <c r="E93" i="1"/>
  <c r="D93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I84" i="1"/>
  <c r="H84" i="1"/>
  <c r="G84" i="1"/>
  <c r="F84" i="1"/>
  <c r="E84" i="1"/>
  <c r="D84" i="1"/>
  <c r="I83" i="1"/>
  <c r="H83" i="1"/>
  <c r="G83" i="1"/>
  <c r="F83" i="1"/>
  <c r="E83" i="1"/>
  <c r="D83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B79" i="1"/>
  <c r="B109" i="1" s="1"/>
  <c r="I78" i="1"/>
  <c r="H78" i="1"/>
  <c r="G78" i="1"/>
  <c r="F78" i="1"/>
  <c r="E78" i="1"/>
  <c r="D78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D74" i="1"/>
  <c r="I73" i="1"/>
  <c r="I109" i="1" s="1"/>
  <c r="H73" i="1"/>
  <c r="H109" i="1" s="1"/>
  <c r="G73" i="1"/>
  <c r="F73" i="1"/>
  <c r="E73" i="1"/>
  <c r="E109" i="1" s="1"/>
  <c r="D73" i="1"/>
  <c r="D109" i="1" s="1"/>
  <c r="I72" i="1"/>
  <c r="H72" i="1"/>
  <c r="G72" i="1"/>
  <c r="G109" i="1" s="1"/>
  <c r="F72" i="1"/>
  <c r="F109" i="1" s="1"/>
  <c r="E72" i="1"/>
  <c r="D72" i="1"/>
  <c r="I68" i="1"/>
  <c r="H68" i="1"/>
  <c r="G68" i="1"/>
  <c r="F68" i="1"/>
  <c r="E68" i="1"/>
  <c r="D68" i="1"/>
  <c r="I67" i="1"/>
  <c r="H67" i="1"/>
  <c r="G67" i="1"/>
  <c r="F67" i="1"/>
  <c r="E67" i="1"/>
  <c r="D67" i="1"/>
  <c r="C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I66" i="1" s="1"/>
  <c r="H63" i="1"/>
  <c r="G63" i="1"/>
  <c r="F63" i="1"/>
  <c r="E63" i="1"/>
  <c r="E66" i="1" s="1"/>
  <c r="D63" i="1"/>
  <c r="D62" i="1"/>
  <c r="C62" i="1"/>
  <c r="B62" i="1"/>
  <c r="B66" i="1" s="1"/>
  <c r="I61" i="1"/>
  <c r="H61" i="1"/>
  <c r="G61" i="1"/>
  <c r="F61" i="1"/>
  <c r="E61" i="1"/>
  <c r="D61" i="1"/>
  <c r="I60" i="1"/>
  <c r="H60" i="1"/>
  <c r="H66" i="1" s="1"/>
  <c r="G60" i="1"/>
  <c r="G66" i="1" s="1"/>
  <c r="F60" i="1"/>
  <c r="F66" i="1" s="1"/>
  <c r="E60" i="1"/>
  <c r="D60" i="1"/>
  <c r="D66" i="1" s="1"/>
  <c r="B59" i="1"/>
  <c r="D58" i="1"/>
  <c r="C58" i="1"/>
  <c r="C59" i="1" s="1"/>
  <c r="C69" i="1" s="1"/>
  <c r="B58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I59" i="1" s="1"/>
  <c r="H50" i="1"/>
  <c r="H59" i="1" s="1"/>
  <c r="G50" i="1"/>
  <c r="G59" i="1" s="1"/>
  <c r="G69" i="1" s="1"/>
  <c r="F50" i="1"/>
  <c r="F59" i="1" s="1"/>
  <c r="F69" i="1" s="1"/>
  <c r="E50" i="1"/>
  <c r="E59" i="1" s="1"/>
  <c r="D50" i="1"/>
  <c r="D59" i="1" s="1"/>
  <c r="C47" i="1"/>
  <c r="B47" i="1"/>
  <c r="I46" i="1"/>
  <c r="H46" i="1"/>
  <c r="G46" i="1"/>
  <c r="D46" i="1"/>
  <c r="D45" i="1"/>
  <c r="I44" i="1"/>
  <c r="H44" i="1"/>
  <c r="G44" i="1"/>
  <c r="F44" i="1"/>
  <c r="E44" i="1"/>
  <c r="D44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H47" i="1" s="1"/>
  <c r="G40" i="1"/>
  <c r="F40" i="1"/>
  <c r="E40" i="1"/>
  <c r="D40" i="1"/>
  <c r="D47" i="1" s="1"/>
  <c r="D39" i="1"/>
  <c r="I38" i="1"/>
  <c r="I47" i="1" s="1"/>
  <c r="H38" i="1"/>
  <c r="G38" i="1"/>
  <c r="G47" i="1" s="1"/>
  <c r="F38" i="1"/>
  <c r="F47" i="1" s="1"/>
  <c r="E38" i="1"/>
  <c r="E47" i="1" s="1"/>
  <c r="D38" i="1"/>
  <c r="C31" i="1"/>
  <c r="D30" i="1"/>
  <c r="I29" i="1"/>
  <c r="H29" i="1"/>
  <c r="G29" i="1"/>
  <c r="F29" i="1"/>
  <c r="E29" i="1"/>
  <c r="D29" i="1"/>
  <c r="B29" i="1"/>
  <c r="I28" i="1"/>
  <c r="I31" i="1" s="1"/>
  <c r="H28" i="1"/>
  <c r="G28" i="1"/>
  <c r="F28" i="1"/>
  <c r="E28" i="1"/>
  <c r="E31" i="1" s="1"/>
  <c r="D28" i="1"/>
  <c r="B28" i="1"/>
  <c r="B31" i="1" s="1"/>
  <c r="I27" i="1"/>
  <c r="H27" i="1"/>
  <c r="H31" i="1" s="1"/>
  <c r="G27" i="1"/>
  <c r="G31" i="1" s="1"/>
  <c r="F27" i="1"/>
  <c r="F31" i="1" s="1"/>
  <c r="E27" i="1"/>
  <c r="D27" i="1"/>
  <c r="D31" i="1" s="1"/>
  <c r="D23" i="1"/>
  <c r="D22" i="1"/>
  <c r="I21" i="1"/>
  <c r="H21" i="1"/>
  <c r="G21" i="1"/>
  <c r="F21" i="1"/>
  <c r="E21" i="1"/>
  <c r="D21" i="1"/>
  <c r="D20" i="1"/>
  <c r="I19" i="1"/>
  <c r="H19" i="1"/>
  <c r="G19" i="1"/>
  <c r="F19" i="1"/>
  <c r="E19" i="1"/>
  <c r="D19" i="1"/>
  <c r="D18" i="1"/>
  <c r="D17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C13" i="1"/>
  <c r="C24" i="1" s="1"/>
  <c r="C33" i="1" s="1"/>
  <c r="C205" i="1" s="1"/>
  <c r="C212" i="1" s="1"/>
  <c r="B13" i="1"/>
  <c r="B24" i="1" s="1"/>
  <c r="B33" i="1" s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D13" i="1" s="1"/>
  <c r="D24" i="1" s="1"/>
  <c r="I6" i="1"/>
  <c r="H6" i="1"/>
  <c r="H13" i="1" s="1"/>
  <c r="H24" i="1" s="1"/>
  <c r="G6" i="1"/>
  <c r="F6" i="1"/>
  <c r="F13" i="1" s="1"/>
  <c r="F24" i="1" s="1"/>
  <c r="F33" i="1" s="1"/>
  <c r="E6" i="1"/>
  <c r="I5" i="1"/>
  <c r="I13" i="1" s="1"/>
  <c r="H5" i="1"/>
  <c r="G5" i="1"/>
  <c r="G13" i="1" s="1"/>
  <c r="G24" i="1" s="1"/>
  <c r="G33" i="1" s="1"/>
  <c r="F5" i="1"/>
  <c r="E5" i="1"/>
  <c r="E13" i="1" s="1"/>
  <c r="D5" i="1"/>
  <c r="C224" i="1" l="1"/>
  <c r="C222" i="1"/>
  <c r="C203" i="1"/>
  <c r="H33" i="1"/>
  <c r="H205" i="1" s="1"/>
  <c r="H212" i="1" s="1"/>
  <c r="D69" i="1"/>
  <c r="D203" i="1" s="1"/>
  <c r="G186" i="1"/>
  <c r="B186" i="1"/>
  <c r="B203" i="1" s="1"/>
  <c r="E24" i="1"/>
  <c r="E33" i="1" s="1"/>
  <c r="E205" i="1" s="1"/>
  <c r="E212" i="1" s="1"/>
  <c r="I24" i="1"/>
  <c r="I33" i="1" s="1"/>
  <c r="I205" i="1" s="1"/>
  <c r="I212" i="1" s="1"/>
  <c r="H69" i="1"/>
  <c r="E69" i="1"/>
  <c r="E203" i="1" s="1"/>
  <c r="I69" i="1"/>
  <c r="I203" i="1" s="1"/>
  <c r="G205" i="1"/>
  <c r="G212" i="1" s="1"/>
  <c r="D33" i="1"/>
  <c r="D205" i="1" s="1"/>
  <c r="D212" i="1" s="1"/>
  <c r="B205" i="1"/>
  <c r="B212" i="1" s="1"/>
  <c r="B69" i="1"/>
  <c r="F186" i="1"/>
  <c r="G203" i="1"/>
  <c r="F228" i="1"/>
  <c r="E230" i="1"/>
  <c r="H203" i="1"/>
  <c r="D230" i="1"/>
  <c r="F123" i="1"/>
  <c r="F129" i="1" s="1"/>
  <c r="F205" i="1" l="1"/>
  <c r="F212" i="1" s="1"/>
  <c r="F203" i="1"/>
  <c r="I224" i="1"/>
  <c r="I222" i="1"/>
  <c r="D224" i="1"/>
  <c r="D222" i="1"/>
  <c r="E224" i="1"/>
  <c r="E222" i="1"/>
  <c r="B224" i="1"/>
  <c r="B222" i="1"/>
  <c r="H224" i="1"/>
  <c r="H222" i="1"/>
  <c r="F230" i="1"/>
  <c r="G228" i="1"/>
  <c r="G224" i="1"/>
  <c r="G222" i="1"/>
  <c r="F224" i="1" l="1"/>
  <c r="F222" i="1"/>
  <c r="H228" i="1"/>
  <c r="G230" i="1"/>
  <c r="I228" i="1" l="1"/>
  <c r="I230" i="1" s="1"/>
  <c r="H230" i="1"/>
</calcChain>
</file>

<file path=xl/sharedStrings.xml><?xml version="1.0" encoding="utf-8"?>
<sst xmlns="http://schemas.openxmlformats.org/spreadsheetml/2006/main" count="207" uniqueCount="207">
  <si>
    <t xml:space="preserve"> </t>
  </si>
  <si>
    <t>2020
Actual</t>
  </si>
  <si>
    <t>2021
Budget</t>
  </si>
  <si>
    <t>2021
Expectation</t>
  </si>
  <si>
    <t>REVENUE</t>
  </si>
  <si>
    <t>Revenue Emmanuel Home</t>
  </si>
  <si>
    <t>Gross Rental Revenue</t>
  </si>
  <si>
    <t>Vacancy Allowance</t>
  </si>
  <si>
    <t>Life Lease Rent Reduction</t>
  </si>
  <si>
    <t>Resident Services</t>
  </si>
  <si>
    <t>Personal Support Services</t>
  </si>
  <si>
    <t>Parking</t>
  </si>
  <si>
    <t>Revenue - Respite/Palliative</t>
  </si>
  <si>
    <t>Guest Suite &amp; Room Rentals</t>
  </si>
  <si>
    <t>Total Revenue - Rentals</t>
  </si>
  <si>
    <t>Revenue - Meal</t>
  </si>
  <si>
    <t>Revenue - Unique Homes Grant</t>
  </si>
  <si>
    <t>Revenue - COVID Relief Funding</t>
  </si>
  <si>
    <t>Revenue - Misc (Key &amp; Door Cards)</t>
  </si>
  <si>
    <t>Revenue - Recreation</t>
  </si>
  <si>
    <t>Revenue - Misc Projects</t>
  </si>
  <si>
    <t>Revenue - Garden Fund</t>
  </si>
  <si>
    <t>Revenue - Chaplaincy</t>
  </si>
  <si>
    <t>Revenue - COVID-19 Fundraiser</t>
  </si>
  <si>
    <t>Revenue - Health Care Projects</t>
  </si>
  <si>
    <t>Total  Emmanuel Home Revenue</t>
  </si>
  <si>
    <t>Society - Revenue</t>
  </si>
  <si>
    <t>Society - Membership</t>
  </si>
  <si>
    <t>Society - Donations</t>
  </si>
  <si>
    <t>Society - Interest/Investment Income</t>
  </si>
  <si>
    <t>Society - Interest Income CW Reserve</t>
  </si>
  <si>
    <t>Total  Society Revenue</t>
  </si>
  <si>
    <t>TOTAL REVENUE</t>
  </si>
  <si>
    <t>EXPENSE</t>
  </si>
  <si>
    <t>Society Expenses</t>
  </si>
  <si>
    <t>Audit Fees</t>
  </si>
  <si>
    <t>Society - Advertising</t>
  </si>
  <si>
    <t>Society - Office &amp; General</t>
  </si>
  <si>
    <t>Society - Grant Purchases</t>
  </si>
  <si>
    <t>Society - Professional &amp; Legal Fees</t>
  </si>
  <si>
    <t>Society - Electronic Fees</t>
  </si>
  <si>
    <t>Society - Parking and Mileage</t>
  </si>
  <si>
    <t>Society - Staff Appreciation</t>
  </si>
  <si>
    <t>Society - Planning &amp; Development</t>
  </si>
  <si>
    <t>Society - Total Expenses</t>
  </si>
  <si>
    <t>Payroll Expenses</t>
  </si>
  <si>
    <t>Wages - Senior Management</t>
  </si>
  <si>
    <t>Wages - Administration</t>
  </si>
  <si>
    <t>Wages - Kitchen</t>
  </si>
  <si>
    <t>Wages - Recreation</t>
  </si>
  <si>
    <t>Wages - Housekeeping</t>
  </si>
  <si>
    <t>Wages - Maintenance</t>
  </si>
  <si>
    <t>Wages - Personal Support</t>
  </si>
  <si>
    <t>Accrued Wages Adjustment</t>
  </si>
  <si>
    <t>Alberta Critical Worker Benefit</t>
  </si>
  <si>
    <t>Total Wages</t>
  </si>
  <si>
    <t>EI Expense</t>
  </si>
  <si>
    <t>CPP Expense</t>
  </si>
  <si>
    <t>Alberta CWB Expenses Credit</t>
  </si>
  <si>
    <t>WCB Expense</t>
  </si>
  <si>
    <t>Group Health Insurance</t>
  </si>
  <si>
    <t>RRSP - CCU</t>
  </si>
  <si>
    <t>Total Employee Benefit Expenses</t>
  </si>
  <si>
    <t>Staff Development</t>
  </si>
  <si>
    <t>Mileage / Parking</t>
  </si>
  <si>
    <t>Total Payroll Expenses</t>
  </si>
  <si>
    <t>Emmanuel Home Expenses</t>
  </si>
  <si>
    <t>Auto Expenses</t>
  </si>
  <si>
    <t>Advertising &amp; Promotions</t>
  </si>
  <si>
    <t>Community Engagement</t>
  </si>
  <si>
    <t>Bank Charges</t>
  </si>
  <si>
    <t>Courier/ Postage &amp; Meter Rental</t>
  </si>
  <si>
    <t>Fundraising Expense</t>
  </si>
  <si>
    <t>Electronic Payment Processing Fees</t>
  </si>
  <si>
    <t>IT and Related Services</t>
  </si>
  <si>
    <t>Computer Software &amp; Hardware</t>
  </si>
  <si>
    <t>Dues &amp; Memberships</t>
  </si>
  <si>
    <t>Accreditation Costs</t>
  </si>
  <si>
    <t>Staff Gifts &amp; Appreciation</t>
  </si>
  <si>
    <t>Miscellaneous</t>
  </si>
  <si>
    <t>Licences</t>
  </si>
  <si>
    <t>Photo Copier Lease &amp; Expenses</t>
  </si>
  <si>
    <t>Office Supplies</t>
  </si>
  <si>
    <t>COVID Costs - Office/Admin</t>
  </si>
  <si>
    <t>Office Equipment &amp; Repairs</t>
  </si>
  <si>
    <t>Furniture &amp; Fixtures</t>
  </si>
  <si>
    <t>Printing</t>
  </si>
  <si>
    <t>Insurance</t>
  </si>
  <si>
    <t>Contracted Services re COVID-19</t>
  </si>
  <si>
    <t xml:space="preserve">Utilities - Power </t>
  </si>
  <si>
    <t>Utilities - Heating</t>
  </si>
  <si>
    <t>Utilities - Telephone</t>
  </si>
  <si>
    <t>Utilities - Cable TV</t>
  </si>
  <si>
    <t>Utilities - Water and Sewer</t>
  </si>
  <si>
    <t>Mortgage East Wing Interest</t>
  </si>
  <si>
    <t>Mortgage Centre Wing Interest</t>
  </si>
  <si>
    <t>Mortgage Consolidate EW &amp; NW Interest</t>
  </si>
  <si>
    <t>Property Taxes</t>
  </si>
  <si>
    <t>Depreciation/Amortization Expense</t>
  </si>
  <si>
    <t>Contingency Reserve All Wings</t>
  </si>
  <si>
    <t>Replacement Reserve Centre Wing</t>
  </si>
  <si>
    <t>Total Emmanuel Home Expenses</t>
  </si>
  <si>
    <t>Ongoing Projects</t>
  </si>
  <si>
    <t>Capital Projects - Expenses</t>
  </si>
  <si>
    <t>Garden Fund - Expenses</t>
  </si>
  <si>
    <t>Walkathon - Expenses</t>
  </si>
  <si>
    <t>Craft Sale - Expenses</t>
  </si>
  <si>
    <t>Chaplaincy - Expenses</t>
  </si>
  <si>
    <t>Health Care Projects - Expenses</t>
  </si>
  <si>
    <t>COVID-19 Projects - Expenses</t>
  </si>
  <si>
    <t>Total Ongoing Project Expenses</t>
  </si>
  <si>
    <t>Kitchen Expenses</t>
  </si>
  <si>
    <t>Kitchen - Groceries</t>
  </si>
  <si>
    <t>Kitchen - Supplies</t>
  </si>
  <si>
    <t>Kitchen - COVID Supplies</t>
  </si>
  <si>
    <t>Kitchen - Equipment</t>
  </si>
  <si>
    <t>Kitchen - Grease Removal</t>
  </si>
  <si>
    <t>Kitchen - Equipment Maintenance</t>
  </si>
  <si>
    <t>Kitchen - Education (Dietitian)</t>
  </si>
  <si>
    <t>Total Kitchen Expenses</t>
  </si>
  <si>
    <t>Housekeeping Expenses</t>
  </si>
  <si>
    <t>Housekeeping - Supplies</t>
  </si>
  <si>
    <t>Housekeeping - COVID Supplies</t>
  </si>
  <si>
    <t>Housekeeping - Equipment</t>
  </si>
  <si>
    <t>Housekeeping - Education (WHMIS)</t>
  </si>
  <si>
    <t>Total Housekeeping Expenses</t>
  </si>
  <si>
    <t>Recreation Income &amp; Expenses</t>
  </si>
  <si>
    <t>Recreation - Trip Expense</t>
  </si>
  <si>
    <t>Recreation - Bus Fuel &amp; Repairs</t>
  </si>
  <si>
    <t>Recreation - Equipment &amp; Supplies</t>
  </si>
  <si>
    <t>Recreation - COVID Supplies</t>
  </si>
  <si>
    <t>Recreation - General Expense</t>
  </si>
  <si>
    <t>Total Recreation Expenses</t>
  </si>
  <si>
    <t>Maintenance Expense</t>
  </si>
  <si>
    <t>Maintenance - Landscaping</t>
  </si>
  <si>
    <t>Maintenance - Parking Lot/Snow Removal</t>
  </si>
  <si>
    <t>Maintenance - Van Fuel &amp; Repairs</t>
  </si>
  <si>
    <t>Maintenance - Elevator</t>
  </si>
  <si>
    <t>Maintenance - Waste Hauling</t>
  </si>
  <si>
    <t>Maintenance - Fire Alarm &amp; Entry</t>
  </si>
  <si>
    <t>Maintenance - Security System</t>
  </si>
  <si>
    <t>Maintenance - Overhead Door Service</t>
  </si>
  <si>
    <t>Maintenance - Intercom Licence</t>
  </si>
  <si>
    <t>Maintenance - Irrigation System</t>
  </si>
  <si>
    <t>Maintenance - Parafos H20 Treatment</t>
  </si>
  <si>
    <t>Maintenance - Window Cleaning</t>
  </si>
  <si>
    <t>Maintenance - Suite Maintenance</t>
  </si>
  <si>
    <t>Maintenance - Gen Maint &amp; Repair</t>
  </si>
  <si>
    <t>Maintenance - COVID Supplies</t>
  </si>
  <si>
    <t>Maintenance - HVAC Contract &amp; Parts</t>
  </si>
  <si>
    <t>Total  Maintenance Expenses</t>
  </si>
  <si>
    <t>Home Living Income &amp; Expenses</t>
  </si>
  <si>
    <t>HL - Income</t>
  </si>
  <si>
    <t>HL - Added Care - AHS</t>
  </si>
  <si>
    <t>HL - Private Care</t>
  </si>
  <si>
    <t>Total HL Income</t>
  </si>
  <si>
    <t>HL - Wages</t>
  </si>
  <si>
    <t>HL - Added Care Wages</t>
  </si>
  <si>
    <t>HL - Private Care Wages</t>
  </si>
  <si>
    <t>HL - LPN Wages</t>
  </si>
  <si>
    <t>HL - EI</t>
  </si>
  <si>
    <t>HL - CPP</t>
  </si>
  <si>
    <t>HL - WCB Expense</t>
  </si>
  <si>
    <t>HL - Group Insurance</t>
  </si>
  <si>
    <t>HL - RRSP</t>
  </si>
  <si>
    <t>HL - Liability Insurance</t>
  </si>
  <si>
    <t>HL - Supplies</t>
  </si>
  <si>
    <t>HL - COVID Supplies</t>
  </si>
  <si>
    <t>HL - Small Equipment</t>
  </si>
  <si>
    <t>HL - Office Supplies</t>
  </si>
  <si>
    <t>HL - Staff Development</t>
  </si>
  <si>
    <t>Total HL Expenses</t>
  </si>
  <si>
    <t>Net - Home Living (HL)</t>
  </si>
  <si>
    <t>Supportive Living Income &amp; Expenses</t>
  </si>
  <si>
    <t>SL - Income</t>
  </si>
  <si>
    <t>SL - Wages</t>
  </si>
  <si>
    <t>SL - EI Expense</t>
  </si>
  <si>
    <t>SL - CPP Expense</t>
  </si>
  <si>
    <t>SL - WCB</t>
  </si>
  <si>
    <t>SL - Group Insurance</t>
  </si>
  <si>
    <t>SL - RRSP</t>
  </si>
  <si>
    <t>SL - Office Supplies</t>
  </si>
  <si>
    <t>SL - Telecare</t>
  </si>
  <si>
    <t>SL - Miscellaneous</t>
  </si>
  <si>
    <t>SL - Staff Development</t>
  </si>
  <si>
    <t>Total SL Expenses</t>
  </si>
  <si>
    <t>Net Supportive Living (SL)</t>
  </si>
  <si>
    <t>TOTAL EXPENSE</t>
  </si>
  <si>
    <t>NET INCOME</t>
  </si>
  <si>
    <t>Debt Servicing Calculations add back:</t>
  </si>
  <si>
    <t>Interest Costs</t>
  </si>
  <si>
    <t>Depreciation/Amortization</t>
  </si>
  <si>
    <t>Available for Debt Servicing</t>
  </si>
  <si>
    <t>Payments Required:</t>
  </si>
  <si>
    <t>Centre Wing Mortgage</t>
  </si>
  <si>
    <t>Consolidated Mortgage</t>
  </si>
  <si>
    <t>Total Debt Servicing Requirement</t>
  </si>
  <si>
    <t>Coverage Required at 1.10</t>
  </si>
  <si>
    <t>CASH Surplus/(Shortfall)</t>
  </si>
  <si>
    <t>Coverage Ratio (Target is 1.10)</t>
  </si>
  <si>
    <t>NOTE: Other Adjustments to Equity</t>
  </si>
  <si>
    <t>Contingency Centre Wing</t>
  </si>
  <si>
    <t>Contingency All Wings</t>
  </si>
  <si>
    <t>Net TF from Unrestricted to Restricted Reserves</t>
  </si>
  <si>
    <t>Other Notes:</t>
  </si>
  <si>
    <t>Total Isolated COVID Costs (estimated)</t>
  </si>
  <si>
    <t xml:space="preserve">  - supplies only, not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</si>
</sst>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1" quotePrefix="1" applyFont="1" applyAlignment="1">
      <alignment horizontal="center" wrapText="1"/>
    </xf>
    <xf numFmtId="3" fontId="4" fillId="0" borderId="1" xfId="1" quotePrefix="1" applyNumberFormat="1" applyFont="1" applyBorder="1" applyAlignment="1">
      <alignment horizontal="center" wrapText="1"/>
    </xf>
    <xf numFmtId="0" fontId="4" fillId="0" borderId="1" xfId="1" quotePrefix="1" applyFont="1" applyBorder="1" applyAlignment="1">
      <alignment horizontal="center" wrapText="1"/>
    </xf>
    <xf numFmtId="0" fontId="1" fillId="0" borderId="0" xfId="0" applyFont="1"/>
    <xf numFmtId="0" fontId="4" fillId="0" borderId="0" xfId="0" quotePrefix="1" applyFont="1" applyAlignment="1">
      <alignment horizontal="left"/>
    </xf>
    <xf numFmtId="3" fontId="1" fillId="0" borderId="0" xfId="0" applyNumberFormat="1" applyFont="1"/>
    <xf numFmtId="0" fontId="5" fillId="0" borderId="0" xfId="0" quotePrefix="1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right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3" fillId="0" borderId="0" xfId="0" applyNumberFormat="1" applyFont="1"/>
  </cellXfs>
  <cellStyles count="2">
    <cellStyle name="Normal" xfId="0" builtinId="0"/>
    <cellStyle name="Normal 9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0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246CBD1-5BD5-4F7A-991B-563452533C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inke/Desktop/BUDGET%20MAST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s"/>
      <sheetName val="Budget by Month"/>
      <sheetName val="Staffing"/>
      <sheetName val="Operations"/>
      <sheetName val="SL and DL"/>
      <sheetName val="Maintenance"/>
      <sheetName val="Mortgages"/>
      <sheetName val="Kit Rec HK"/>
      <sheetName val="Society"/>
    </sheetNames>
    <sheetDataSet>
      <sheetData sheetId="0" refreshError="1"/>
      <sheetData sheetId="1">
        <row r="27">
          <cell r="F27">
            <v>4027880</v>
          </cell>
          <cell r="H27">
            <v>4136410</v>
          </cell>
          <cell r="J27">
            <v>4242550</v>
          </cell>
          <cell r="L27">
            <v>4351190</v>
          </cell>
          <cell r="N27">
            <v>4464430</v>
          </cell>
        </row>
        <row r="29">
          <cell r="F29">
            <v>-40278.800000000003</v>
          </cell>
          <cell r="H29">
            <v>-41364.1</v>
          </cell>
          <cell r="J29">
            <v>-42425.5</v>
          </cell>
          <cell r="L29">
            <v>-43511.9</v>
          </cell>
          <cell r="N29">
            <v>-44644.3</v>
          </cell>
        </row>
        <row r="30">
          <cell r="F30">
            <v>-82500</v>
          </cell>
          <cell r="H30">
            <v>-82500</v>
          </cell>
          <cell r="J30">
            <v>-82500</v>
          </cell>
          <cell r="L30">
            <v>-82500</v>
          </cell>
          <cell r="N30">
            <v>-82500</v>
          </cell>
        </row>
        <row r="41">
          <cell r="F41">
            <v>0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</row>
        <row r="43">
          <cell r="F43">
            <v>60000</v>
          </cell>
          <cell r="H43">
            <v>65000</v>
          </cell>
          <cell r="J43">
            <v>70000</v>
          </cell>
          <cell r="L43">
            <v>72500</v>
          </cell>
          <cell r="N43">
            <v>75000</v>
          </cell>
        </row>
        <row r="46">
          <cell r="F46">
            <v>60480</v>
          </cell>
          <cell r="H46">
            <v>63000</v>
          </cell>
          <cell r="J46">
            <v>63000</v>
          </cell>
          <cell r="L46">
            <v>63000</v>
          </cell>
          <cell r="N46">
            <v>63000</v>
          </cell>
        </row>
        <row r="48">
          <cell r="F48">
            <v>5000</v>
          </cell>
          <cell r="H48">
            <v>5000</v>
          </cell>
          <cell r="J48">
            <v>5000</v>
          </cell>
          <cell r="L48">
            <v>5000</v>
          </cell>
          <cell r="N48">
            <v>5000</v>
          </cell>
        </row>
        <row r="50">
          <cell r="F50">
            <v>5000</v>
          </cell>
          <cell r="H50">
            <v>7500</v>
          </cell>
          <cell r="J50">
            <v>7500</v>
          </cell>
          <cell r="L50">
            <v>7500</v>
          </cell>
          <cell r="N50">
            <v>7500</v>
          </cell>
        </row>
        <row r="54">
          <cell r="F54">
            <v>48288</v>
          </cell>
          <cell r="H54">
            <v>48288</v>
          </cell>
          <cell r="J54">
            <v>48288</v>
          </cell>
          <cell r="L54">
            <v>48288</v>
          </cell>
          <cell r="N54">
            <v>48288</v>
          </cell>
        </row>
        <row r="57">
          <cell r="F57">
            <v>0</v>
          </cell>
        </row>
        <row r="67">
          <cell r="F67">
            <v>12000</v>
          </cell>
          <cell r="H67">
            <v>12000</v>
          </cell>
          <cell r="J67">
            <v>12000</v>
          </cell>
          <cell r="L67">
            <v>12000</v>
          </cell>
          <cell r="N67">
            <v>12000</v>
          </cell>
        </row>
        <row r="70">
          <cell r="F70">
            <v>0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</row>
        <row r="72">
          <cell r="F72">
            <v>24000</v>
          </cell>
          <cell r="H72">
            <v>27000</v>
          </cell>
          <cell r="J72">
            <v>30000</v>
          </cell>
          <cell r="L72">
            <v>33000</v>
          </cell>
          <cell r="N72">
            <v>36000</v>
          </cell>
        </row>
        <row r="73">
          <cell r="F73">
            <v>12000</v>
          </cell>
          <cell r="H73">
            <v>12000</v>
          </cell>
          <cell r="J73">
            <v>12000</v>
          </cell>
          <cell r="L73">
            <v>12000</v>
          </cell>
          <cell r="N73">
            <v>12000</v>
          </cell>
        </row>
        <row r="87">
          <cell r="F87">
            <v>405222</v>
          </cell>
          <cell r="H87">
            <v>436398</v>
          </cell>
          <cell r="J87">
            <v>451947</v>
          </cell>
          <cell r="L87">
            <v>479974.2</v>
          </cell>
          <cell r="N87">
            <v>496699.2</v>
          </cell>
        </row>
      </sheetData>
      <sheetData sheetId="2">
        <row r="5">
          <cell r="O5">
            <v>3701326</v>
          </cell>
        </row>
        <row r="6">
          <cell r="O6">
            <v>-72335</v>
          </cell>
        </row>
        <row r="7">
          <cell r="O7">
            <v>382760</v>
          </cell>
        </row>
        <row r="8">
          <cell r="O8">
            <v>10031</v>
          </cell>
        </row>
        <row r="9">
          <cell r="O9">
            <v>55708</v>
          </cell>
        </row>
        <row r="10">
          <cell r="O10">
            <v>55139</v>
          </cell>
        </row>
        <row r="11">
          <cell r="O11">
            <v>3103</v>
          </cell>
        </row>
        <row r="12">
          <cell r="O12">
            <v>600</v>
          </cell>
        </row>
        <row r="13">
          <cell r="O13">
            <v>5730</v>
          </cell>
        </row>
        <row r="15">
          <cell r="O15">
            <v>48288</v>
          </cell>
        </row>
        <row r="16">
          <cell r="O16">
            <v>113040</v>
          </cell>
        </row>
        <row r="17">
          <cell r="O17">
            <v>16557.666666666664</v>
          </cell>
        </row>
        <row r="18">
          <cell r="O18">
            <v>9397</v>
          </cell>
        </row>
        <row r="19">
          <cell r="O19">
            <v>2003</v>
          </cell>
        </row>
        <row r="20">
          <cell r="O20">
            <v>10800</v>
          </cell>
        </row>
        <row r="21">
          <cell r="O21">
            <v>131</v>
          </cell>
        </row>
        <row r="22">
          <cell r="O22">
            <v>1667</v>
          </cell>
        </row>
        <row r="24">
          <cell r="O24">
            <v>11490</v>
          </cell>
        </row>
        <row r="25">
          <cell r="O25">
            <v>7174193.1399999997</v>
          </cell>
        </row>
        <row r="26">
          <cell r="O26">
            <v>24337</v>
          </cell>
        </row>
        <row r="27">
          <cell r="O27">
            <v>214</v>
          </cell>
        </row>
        <row r="30">
          <cell r="O30">
            <v>21963</v>
          </cell>
        </row>
        <row r="32">
          <cell r="O32">
            <v>614</v>
          </cell>
        </row>
        <row r="33">
          <cell r="O33">
            <v>0</v>
          </cell>
        </row>
        <row r="34">
          <cell r="O34">
            <v>75</v>
          </cell>
        </row>
        <row r="35">
          <cell r="O35">
            <v>713</v>
          </cell>
        </row>
        <row r="36">
          <cell r="O36">
            <v>947</v>
          </cell>
        </row>
        <row r="37">
          <cell r="O37">
            <v>655</v>
          </cell>
        </row>
        <row r="38">
          <cell r="O38">
            <v>1603</v>
          </cell>
        </row>
        <row r="40">
          <cell r="O40">
            <v>227068.55555555553</v>
          </cell>
        </row>
        <row r="41">
          <cell r="O41">
            <v>332261.60995868058</v>
          </cell>
        </row>
        <row r="42">
          <cell r="O42">
            <v>380291</v>
          </cell>
        </row>
        <row r="43">
          <cell r="O43">
            <v>117168.61187499999</v>
          </cell>
        </row>
        <row r="44">
          <cell r="O44">
            <v>300466.14662500005</v>
          </cell>
        </row>
        <row r="45">
          <cell r="O45">
            <v>260742</v>
          </cell>
        </row>
        <row r="46">
          <cell r="O46">
            <v>32002</v>
          </cell>
        </row>
        <row r="47">
          <cell r="O47">
            <v>-120152</v>
          </cell>
        </row>
        <row r="48">
          <cell r="O48">
            <v>-52800</v>
          </cell>
        </row>
        <row r="50">
          <cell r="O50">
            <v>33859</v>
          </cell>
        </row>
        <row r="51">
          <cell r="O51">
            <v>76375</v>
          </cell>
        </row>
        <row r="52">
          <cell r="O52">
            <v>-4044</v>
          </cell>
        </row>
        <row r="53">
          <cell r="O53">
            <v>27603.221875283056</v>
          </cell>
        </row>
        <row r="54">
          <cell r="O54">
            <v>57410.431949664933</v>
          </cell>
        </row>
        <row r="55">
          <cell r="O55">
            <v>42101</v>
          </cell>
        </row>
        <row r="57">
          <cell r="O57">
            <v>1045</v>
          </cell>
        </row>
        <row r="58">
          <cell r="O58">
            <v>0</v>
          </cell>
        </row>
        <row r="60">
          <cell r="O60">
            <v>2168</v>
          </cell>
        </row>
        <row r="61">
          <cell r="O61">
            <v>12306</v>
          </cell>
        </row>
        <row r="62">
          <cell r="O62">
            <v>0</v>
          </cell>
        </row>
        <row r="63">
          <cell r="O63">
            <v>423.66666666666674</v>
          </cell>
        </row>
        <row r="64">
          <cell r="O64">
            <v>2975.9999999999995</v>
          </cell>
        </row>
        <row r="65">
          <cell r="O65">
            <v>0</v>
          </cell>
        </row>
        <row r="66">
          <cell r="O66">
            <v>214.99999999999997</v>
          </cell>
        </row>
        <row r="67">
          <cell r="O67">
            <v>23591.999999999996</v>
          </cell>
        </row>
        <row r="68">
          <cell r="O68">
            <v>7161</v>
          </cell>
        </row>
        <row r="69">
          <cell r="O69">
            <v>4606</v>
          </cell>
        </row>
        <row r="70">
          <cell r="O70">
            <v>8210</v>
          </cell>
        </row>
        <row r="71">
          <cell r="O71">
            <v>5521</v>
          </cell>
        </row>
        <row r="72">
          <cell r="O72">
            <v>1774</v>
          </cell>
        </row>
        <row r="74">
          <cell r="O74">
            <v>11473</v>
          </cell>
        </row>
        <row r="75">
          <cell r="O75">
            <v>18026</v>
          </cell>
        </row>
        <row r="76">
          <cell r="O76">
            <v>4883</v>
          </cell>
        </row>
        <row r="77">
          <cell r="O77">
            <v>11069</v>
          </cell>
        </row>
        <row r="78">
          <cell r="O78">
            <v>1089</v>
          </cell>
        </row>
        <row r="80">
          <cell r="O80">
            <v>80028</v>
          </cell>
        </row>
        <row r="81">
          <cell r="N81">
            <v>0</v>
          </cell>
          <cell r="O81">
            <v>25232</v>
          </cell>
        </row>
        <row r="83">
          <cell r="O83">
            <v>187000</v>
          </cell>
        </row>
        <row r="84">
          <cell r="O84">
            <v>95085</v>
          </cell>
        </row>
        <row r="85">
          <cell r="O85">
            <v>15144</v>
          </cell>
        </row>
        <row r="86">
          <cell r="O86">
            <v>83504</v>
          </cell>
        </row>
        <row r="87">
          <cell r="O87">
            <v>83256</v>
          </cell>
        </row>
        <row r="89">
          <cell r="O89">
            <v>18649</v>
          </cell>
        </row>
        <row r="90">
          <cell r="O90">
            <v>734467.62169180426</v>
          </cell>
        </row>
        <row r="91">
          <cell r="N91">
            <v>0</v>
          </cell>
          <cell r="O91">
            <v>0</v>
          </cell>
        </row>
        <row r="92">
          <cell r="O92">
            <v>900948</v>
          </cell>
        </row>
        <row r="93">
          <cell r="O93">
            <v>75338</v>
          </cell>
        </row>
        <row r="97">
          <cell r="O97">
            <v>0</v>
          </cell>
        </row>
        <row r="98">
          <cell r="O98">
            <v>5877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1000</v>
          </cell>
        </row>
        <row r="102">
          <cell r="O102">
            <v>0</v>
          </cell>
        </row>
        <row r="103">
          <cell r="O103">
            <v>0</v>
          </cell>
        </row>
        <row r="105">
          <cell r="O105">
            <v>191384.52000000002</v>
          </cell>
        </row>
        <row r="106">
          <cell r="O106">
            <v>34245.196800000005</v>
          </cell>
        </row>
        <row r="107">
          <cell r="O107">
            <v>1345.3333333333333</v>
          </cell>
        </row>
        <row r="108">
          <cell r="O108">
            <v>987.66666666666674</v>
          </cell>
        </row>
        <row r="109">
          <cell r="O109">
            <v>2856</v>
          </cell>
        </row>
        <row r="110">
          <cell r="O110">
            <v>0</v>
          </cell>
        </row>
        <row r="112">
          <cell r="O112">
            <v>28329</v>
          </cell>
        </row>
        <row r="113">
          <cell r="O113">
            <v>2293</v>
          </cell>
        </row>
        <row r="115">
          <cell r="O115">
            <v>866.66679999999997</v>
          </cell>
        </row>
        <row r="116">
          <cell r="O116">
            <v>4261</v>
          </cell>
        </row>
        <row r="117">
          <cell r="O117">
            <v>1524.3332</v>
          </cell>
        </row>
        <row r="118">
          <cell r="O118">
            <v>15256.333333333328</v>
          </cell>
        </row>
        <row r="120">
          <cell r="O120">
            <v>22046</v>
          </cell>
        </row>
        <row r="121">
          <cell r="O121">
            <v>13007</v>
          </cell>
        </row>
        <row r="122">
          <cell r="O122">
            <v>5929.6666666666679</v>
          </cell>
        </row>
        <row r="123">
          <cell r="O123">
            <v>26016</v>
          </cell>
        </row>
        <row r="124">
          <cell r="O124">
            <v>12880</v>
          </cell>
        </row>
        <row r="125">
          <cell r="O125">
            <v>9078</v>
          </cell>
        </row>
        <row r="126">
          <cell r="O126">
            <v>166.66666666666666</v>
          </cell>
        </row>
        <row r="127">
          <cell r="O127">
            <v>1321</v>
          </cell>
        </row>
        <row r="128">
          <cell r="O128">
            <v>0</v>
          </cell>
        </row>
        <row r="129">
          <cell r="O129">
            <v>851</v>
          </cell>
        </row>
        <row r="130">
          <cell r="O130">
            <v>6500</v>
          </cell>
        </row>
        <row r="131">
          <cell r="O131">
            <v>14624</v>
          </cell>
        </row>
        <row r="132">
          <cell r="O132">
            <v>78788.333333333328</v>
          </cell>
        </row>
        <row r="133">
          <cell r="O133">
            <v>85397.333333333314</v>
          </cell>
        </row>
        <row r="134">
          <cell r="O134">
            <v>32428</v>
          </cell>
        </row>
        <row r="140">
          <cell r="O140">
            <v>494662</v>
          </cell>
        </row>
        <row r="141">
          <cell r="O141">
            <v>3598</v>
          </cell>
        </row>
        <row r="142">
          <cell r="O142">
            <v>1310</v>
          </cell>
        </row>
        <row r="143">
          <cell r="O143">
            <v>68814</v>
          </cell>
        </row>
        <row r="144">
          <cell r="O144">
            <v>26894</v>
          </cell>
        </row>
        <row r="145">
          <cell r="O145">
            <v>12086</v>
          </cell>
        </row>
        <row r="146">
          <cell r="O146">
            <v>12515</v>
          </cell>
        </row>
        <row r="147">
          <cell r="O147">
            <v>16488</v>
          </cell>
        </row>
        <row r="148">
          <cell r="O148">
            <v>8733</v>
          </cell>
        </row>
        <row r="149">
          <cell r="O149">
            <v>1739</v>
          </cell>
        </row>
        <row r="150">
          <cell r="O150">
            <v>42447</v>
          </cell>
        </row>
        <row r="151">
          <cell r="O151">
            <v>2682</v>
          </cell>
        </row>
        <row r="152">
          <cell r="O152">
            <v>794</v>
          </cell>
        </row>
        <row r="153">
          <cell r="O153">
            <v>880</v>
          </cell>
        </row>
        <row r="155">
          <cell r="O155">
            <v>-392715</v>
          </cell>
        </row>
        <row r="156">
          <cell r="O156">
            <v>307367</v>
          </cell>
        </row>
        <row r="157">
          <cell r="O157">
            <v>16322</v>
          </cell>
        </row>
        <row r="158">
          <cell r="O158">
            <v>6747</v>
          </cell>
        </row>
        <row r="159">
          <cell r="O159">
            <v>6908</v>
          </cell>
        </row>
        <row r="160">
          <cell r="O160">
            <v>6305</v>
          </cell>
        </row>
        <row r="161">
          <cell r="O161">
            <v>4848</v>
          </cell>
        </row>
        <row r="162">
          <cell r="O162">
            <v>3592</v>
          </cell>
        </row>
        <row r="163">
          <cell r="O163">
            <v>2777</v>
          </cell>
        </row>
        <row r="164">
          <cell r="O164">
            <v>1104</v>
          </cell>
        </row>
        <row r="165">
          <cell r="O165">
            <v>400</v>
          </cell>
        </row>
      </sheetData>
      <sheetData sheetId="3">
        <row r="9">
          <cell r="J9">
            <v>209175</v>
          </cell>
          <cell r="N9">
            <v>213358.49999999997</v>
          </cell>
          <cell r="R9">
            <v>217625.66999999998</v>
          </cell>
          <cell r="V9">
            <v>237896.3034</v>
          </cell>
          <cell r="Z9">
            <v>242654.22946799998</v>
          </cell>
        </row>
        <row r="21">
          <cell r="J21">
            <v>277674.209840625</v>
          </cell>
          <cell r="N21">
            <v>308090.1940374375</v>
          </cell>
          <cell r="R21">
            <v>339611.74791818624</v>
          </cell>
          <cell r="V21">
            <v>346403.98287655</v>
          </cell>
          <cell r="Z21">
            <v>353332.06253408099</v>
          </cell>
        </row>
        <row r="27">
          <cell r="J27">
            <v>351126.65249999997</v>
          </cell>
          <cell r="N27">
            <v>358149.18554999994</v>
          </cell>
          <cell r="R27">
            <v>365312.169261</v>
          </cell>
          <cell r="V27">
            <v>372618.41264622001</v>
          </cell>
          <cell r="Z27">
            <v>380070.78089914448</v>
          </cell>
        </row>
        <row r="31">
          <cell r="J31">
            <v>19386.783000000003</v>
          </cell>
          <cell r="N31">
            <v>19514.327624999998</v>
          </cell>
          <cell r="R31">
            <v>19904.6141775</v>
          </cell>
          <cell r="V31">
            <v>20302.706461050002</v>
          </cell>
          <cell r="Z31">
            <v>20708.760590270998</v>
          </cell>
        </row>
        <row r="32">
          <cell r="J32">
            <v>265345.77712500002</v>
          </cell>
          <cell r="N32">
            <v>270392.50163249997</v>
          </cell>
          <cell r="R32">
            <v>275800.35166514997</v>
          </cell>
          <cell r="V32">
            <v>281316.35869845306</v>
          </cell>
          <cell r="Z32">
            <v>286942.68587242201</v>
          </cell>
        </row>
        <row r="38">
          <cell r="J38">
            <v>116569.074375</v>
          </cell>
          <cell r="N38">
            <v>118900.45586250001</v>
          </cell>
          <cell r="R38">
            <v>121278.46497975</v>
          </cell>
          <cell r="V38">
            <v>123704.03427934501</v>
          </cell>
          <cell r="Z38">
            <v>126178.11496493191</v>
          </cell>
        </row>
        <row r="43">
          <cell r="J43">
            <v>180409.95</v>
          </cell>
          <cell r="N43">
            <v>184018.14899999998</v>
          </cell>
          <cell r="R43">
            <v>187698.51198000001</v>
          </cell>
          <cell r="V43">
            <v>191452.4822196</v>
          </cell>
          <cell r="Z43">
            <v>195281.53186399202</v>
          </cell>
        </row>
        <row r="46">
          <cell r="J46">
            <v>29204.687628565316</v>
          </cell>
          <cell r="N46">
            <v>32690.45218685484</v>
          </cell>
          <cell r="R46">
            <v>34668.519063493986</v>
          </cell>
          <cell r="V46">
            <v>35728.006204763864</v>
          </cell>
          <cell r="Z46">
            <v>36442.566328859139</v>
          </cell>
        </row>
        <row r="47">
          <cell r="J47">
            <v>75283.267458290633</v>
          </cell>
          <cell r="N47">
            <v>86448.084671905031</v>
          </cell>
          <cell r="R47">
            <v>89685.951490343126</v>
          </cell>
          <cell r="V47">
            <v>92426.798660150002</v>
          </cell>
          <cell r="Z47">
            <v>94275.334633352992</v>
          </cell>
        </row>
        <row r="48">
          <cell r="J48">
            <v>21284.5700903775</v>
          </cell>
          <cell r="N48">
            <v>22084.216588453048</v>
          </cell>
          <cell r="R48">
            <v>22911.369120222113</v>
          </cell>
          <cell r="V48">
            <v>23611.551926626555</v>
          </cell>
          <cell r="Z48">
            <v>24083.782965159084</v>
          </cell>
        </row>
        <row r="49">
          <cell r="J49">
            <v>49010.523234421882</v>
          </cell>
          <cell r="N49">
            <v>50851.814512885314</v>
          </cell>
          <cell r="R49">
            <v>52756.442053143022</v>
          </cell>
          <cell r="V49">
            <v>54368.705094205892</v>
          </cell>
          <cell r="Z49">
            <v>55456.079196090002</v>
          </cell>
        </row>
        <row r="50">
          <cell r="J50">
            <v>42009.019915218749</v>
          </cell>
          <cell r="N50">
            <v>43587.26958247312</v>
          </cell>
          <cell r="R50">
            <v>45219.807474122586</v>
          </cell>
          <cell r="V50">
            <v>46601.747223605038</v>
          </cell>
          <cell r="Z50">
            <v>47533.782168077138</v>
          </cell>
        </row>
        <row r="51">
          <cell r="J51">
            <v>3000</v>
          </cell>
          <cell r="N51">
            <v>3200</v>
          </cell>
          <cell r="R51">
            <v>3400</v>
          </cell>
          <cell r="V51">
            <v>3400</v>
          </cell>
          <cell r="Z51">
            <v>3400</v>
          </cell>
        </row>
        <row r="52">
          <cell r="J52">
            <v>250</v>
          </cell>
          <cell r="N52">
            <v>250</v>
          </cell>
          <cell r="R52">
            <v>250</v>
          </cell>
          <cell r="V52">
            <v>250</v>
          </cell>
          <cell r="Z52">
            <v>250</v>
          </cell>
        </row>
        <row r="59">
          <cell r="J59">
            <v>72598.500000000015</v>
          </cell>
          <cell r="N59">
            <v>74050.47</v>
          </cell>
          <cell r="R59">
            <v>75531.479400000011</v>
          </cell>
          <cell r="V59">
            <v>77042.108988000007</v>
          </cell>
          <cell r="Z59">
            <v>78582.951167760009</v>
          </cell>
        </row>
        <row r="60">
          <cell r="J60">
            <v>459848.99999999994</v>
          </cell>
          <cell r="N60">
            <v>469045.98</v>
          </cell>
          <cell r="R60">
            <v>478426.8996</v>
          </cell>
          <cell r="V60">
            <v>487995.437592</v>
          </cell>
          <cell r="Z60">
            <v>497755.34634384001</v>
          </cell>
        </row>
        <row r="62">
          <cell r="J62">
            <v>130643.88480000003</v>
          </cell>
          <cell r="N62">
            <v>133256.76249600001</v>
          </cell>
          <cell r="R62">
            <v>135921.89774592003</v>
          </cell>
          <cell r="V62">
            <v>138640.33570083842</v>
          </cell>
          <cell r="Z62">
            <v>141413.14241485519</v>
          </cell>
        </row>
        <row r="63">
          <cell r="J63">
            <v>15348.007039080576</v>
          </cell>
          <cell r="N63">
            <v>15948.308081159999</v>
          </cell>
          <cell r="R63">
            <v>16819.149941156156</v>
          </cell>
          <cell r="V63">
            <v>17155.532939979283</v>
          </cell>
          <cell r="Z63">
            <v>17498.643598778868</v>
          </cell>
        </row>
        <row r="64">
          <cell r="J64">
            <v>37090.064433600004</v>
          </cell>
          <cell r="N64">
            <v>42174.414703511997</v>
          </cell>
          <cell r="R64">
            <v>43510.40963038223</v>
          </cell>
          <cell r="V64">
            <v>44380.617822989887</v>
          </cell>
          <cell r="Z64">
            <v>45268.230179449682</v>
          </cell>
        </row>
        <row r="65">
          <cell r="J65">
            <v>10401.472248960001</v>
          </cell>
          <cell r="N65">
            <v>10773.9681259392</v>
          </cell>
          <cell r="R65">
            <v>11115.264308937984</v>
          </cell>
          <cell r="V65">
            <v>11337.569595116745</v>
          </cell>
          <cell r="Z65">
            <v>11564.320987019079</v>
          </cell>
        </row>
        <row r="66">
          <cell r="J66">
            <v>23950.758468000004</v>
          </cell>
          <cell r="N66">
            <v>24808.479237360003</v>
          </cell>
          <cell r="R66">
            <v>25594.358606107198</v>
          </cell>
          <cell r="V66">
            <v>26106.24577822935</v>
          </cell>
          <cell r="Z66">
            <v>34236.476606306482</v>
          </cell>
        </row>
        <row r="67">
          <cell r="J67">
            <v>13686.147696</v>
          </cell>
          <cell r="N67">
            <v>14176.27384992</v>
          </cell>
          <cell r="R67">
            <v>16453.516246783198</v>
          </cell>
          <cell r="V67">
            <v>18647.318413020963</v>
          </cell>
          <cell r="Z67">
            <v>20922.291259409518</v>
          </cell>
        </row>
      </sheetData>
      <sheetData sheetId="4">
        <row r="2">
          <cell r="C2">
            <v>3600</v>
          </cell>
          <cell r="D2">
            <v>3900</v>
          </cell>
          <cell r="E2">
            <v>4000</v>
          </cell>
          <cell r="F2">
            <v>4000</v>
          </cell>
          <cell r="G2">
            <v>4000</v>
          </cell>
        </row>
        <row r="3">
          <cell r="C3">
            <v>3600</v>
          </cell>
          <cell r="D3">
            <v>3900</v>
          </cell>
          <cell r="E3">
            <v>4200</v>
          </cell>
          <cell r="F3">
            <v>4500</v>
          </cell>
          <cell r="G3">
            <v>5000</v>
          </cell>
        </row>
        <row r="4">
          <cell r="C4">
            <v>500</v>
          </cell>
          <cell r="D4">
            <v>500</v>
          </cell>
          <cell r="E4">
            <v>500</v>
          </cell>
          <cell r="F4">
            <v>500</v>
          </cell>
          <cell r="G4">
            <v>500</v>
          </cell>
        </row>
        <row r="5">
          <cell r="C5">
            <v>2000</v>
          </cell>
          <cell r="D5">
            <v>1800</v>
          </cell>
          <cell r="E5">
            <v>1700</v>
          </cell>
          <cell r="F5">
            <v>1600</v>
          </cell>
          <cell r="G5">
            <v>1500</v>
          </cell>
        </row>
        <row r="6">
          <cell r="C6">
            <v>500</v>
          </cell>
          <cell r="D6">
            <v>500</v>
          </cell>
          <cell r="E6">
            <v>500</v>
          </cell>
          <cell r="F6">
            <v>500</v>
          </cell>
          <cell r="G6">
            <v>500</v>
          </cell>
        </row>
        <row r="7">
          <cell r="C7">
            <v>25000</v>
          </cell>
          <cell r="D7">
            <v>25000</v>
          </cell>
          <cell r="E7">
            <v>26000</v>
          </cell>
          <cell r="F7">
            <v>26000</v>
          </cell>
          <cell r="G7">
            <v>27000</v>
          </cell>
        </row>
        <row r="8">
          <cell r="C8">
            <v>4000</v>
          </cell>
          <cell r="D8">
            <v>5000</v>
          </cell>
          <cell r="E8">
            <v>5000</v>
          </cell>
          <cell r="F8">
            <v>5000</v>
          </cell>
          <cell r="G8">
            <v>5000</v>
          </cell>
        </row>
        <row r="10">
          <cell r="C10">
            <v>4500</v>
          </cell>
          <cell r="D10">
            <v>4500</v>
          </cell>
          <cell r="E10">
            <v>4500</v>
          </cell>
          <cell r="F10">
            <v>4500</v>
          </cell>
          <cell r="G10">
            <v>4500</v>
          </cell>
        </row>
        <row r="12">
          <cell r="C12">
            <v>7200</v>
          </cell>
          <cell r="D12">
            <v>7200</v>
          </cell>
          <cell r="E12">
            <v>7200</v>
          </cell>
          <cell r="F12">
            <v>7200</v>
          </cell>
          <cell r="G12">
            <v>7200</v>
          </cell>
        </row>
        <row r="13">
          <cell r="C13">
            <v>1500</v>
          </cell>
          <cell r="D13">
            <v>1500</v>
          </cell>
          <cell r="E13">
            <v>1500</v>
          </cell>
          <cell r="F13">
            <v>1500</v>
          </cell>
          <cell r="G13">
            <v>1500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8400</v>
          </cell>
          <cell r="D15">
            <v>8400</v>
          </cell>
          <cell r="E15">
            <v>8400</v>
          </cell>
          <cell r="F15">
            <v>8400</v>
          </cell>
          <cell r="G15">
            <v>8400</v>
          </cell>
        </row>
        <row r="16">
          <cell r="C16">
            <v>7200</v>
          </cell>
          <cell r="D16">
            <v>7200</v>
          </cell>
          <cell r="E16">
            <v>7200</v>
          </cell>
          <cell r="F16">
            <v>7200</v>
          </cell>
          <cell r="G16">
            <v>7200</v>
          </cell>
        </row>
        <row r="17">
          <cell r="C17">
            <v>2400</v>
          </cell>
          <cell r="D17">
            <v>2400</v>
          </cell>
          <cell r="E17">
            <v>2400</v>
          </cell>
          <cell r="F17">
            <v>2400</v>
          </cell>
          <cell r="G17">
            <v>2400</v>
          </cell>
        </row>
        <row r="18">
          <cell r="C18">
            <v>1200</v>
          </cell>
          <cell r="D18">
            <v>1200</v>
          </cell>
          <cell r="E18">
            <v>1200</v>
          </cell>
          <cell r="F18">
            <v>1200</v>
          </cell>
          <cell r="G18">
            <v>1200</v>
          </cell>
        </row>
        <row r="19">
          <cell r="C19">
            <v>600</v>
          </cell>
          <cell r="D19">
            <v>600</v>
          </cell>
          <cell r="E19">
            <v>600</v>
          </cell>
          <cell r="F19">
            <v>600</v>
          </cell>
          <cell r="G19">
            <v>600</v>
          </cell>
        </row>
        <row r="21">
          <cell r="C21">
            <v>878424.29999999993</v>
          </cell>
          <cell r="D21">
            <v>856463.69249999989</v>
          </cell>
          <cell r="E21">
            <v>835052.10018749989</v>
          </cell>
          <cell r="F21">
            <v>814175.79768281232</v>
          </cell>
          <cell r="G21">
            <v>793821.40274074196</v>
          </cell>
        </row>
        <row r="23">
          <cell r="C23">
            <v>82400</v>
          </cell>
          <cell r="D23">
            <v>84872</v>
          </cell>
          <cell r="E23">
            <v>87418.16</v>
          </cell>
          <cell r="F23">
            <v>90040.704800000007</v>
          </cell>
          <cell r="G23">
            <v>92741.925944000002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9">
          <cell r="C29">
            <v>199000</v>
          </cell>
          <cell r="D29">
            <v>204970</v>
          </cell>
          <cell r="E29">
            <v>211119.1</v>
          </cell>
          <cell r="F29">
            <v>217452.67300000001</v>
          </cell>
          <cell r="G29">
            <v>223976.25319000002</v>
          </cell>
        </row>
        <row r="30">
          <cell r="C30">
            <v>96000</v>
          </cell>
          <cell r="D30">
            <v>98880</v>
          </cell>
          <cell r="E30">
            <v>101846.40000000001</v>
          </cell>
          <cell r="F30">
            <v>104901.79200000002</v>
          </cell>
          <cell r="G30">
            <v>108048.84576000003</v>
          </cell>
        </row>
        <row r="31">
          <cell r="C31">
            <v>15450</v>
          </cell>
          <cell r="D31">
            <v>15913.5</v>
          </cell>
          <cell r="E31">
            <v>16390.904999999999</v>
          </cell>
          <cell r="F31">
            <v>16882.632149999998</v>
          </cell>
          <cell r="G31">
            <v>17389.1111145</v>
          </cell>
        </row>
        <row r="32">
          <cell r="C32">
            <v>110000</v>
          </cell>
          <cell r="D32">
            <v>138585.15000000002</v>
          </cell>
          <cell r="E32">
            <v>142742.70450000002</v>
          </cell>
          <cell r="F32">
            <v>147024.98563500002</v>
          </cell>
          <cell r="G32">
            <v>151435.73520405003</v>
          </cell>
        </row>
        <row r="33">
          <cell r="C33">
            <v>85753.680000000008</v>
          </cell>
          <cell r="D33">
            <v>88326.290400000013</v>
          </cell>
          <cell r="E33">
            <v>90976.079112000021</v>
          </cell>
          <cell r="F33">
            <v>93705.36148536003</v>
          </cell>
          <cell r="G33">
            <v>96516.52232992083</v>
          </cell>
        </row>
      </sheetData>
      <sheetData sheetId="5">
        <row r="3">
          <cell r="B3">
            <v>-409474</v>
          </cell>
          <cell r="C3">
            <v>-515000</v>
          </cell>
          <cell r="D3">
            <v>-520150</v>
          </cell>
          <cell r="E3">
            <v>-525351.5</v>
          </cell>
          <cell r="F3">
            <v>-530605.01500000001</v>
          </cell>
          <cell r="G3">
            <v>-535911.06515000004</v>
          </cell>
        </row>
        <row r="4">
          <cell r="B4">
            <v>-4876</v>
          </cell>
        </row>
        <row r="5">
          <cell r="B5">
            <v>-1560</v>
          </cell>
        </row>
      </sheetData>
      <sheetData sheetId="6">
        <row r="3">
          <cell r="C3">
            <v>12000</v>
          </cell>
          <cell r="D3">
            <v>12000</v>
          </cell>
          <cell r="E3">
            <v>12000</v>
          </cell>
          <cell r="F3">
            <v>12000</v>
          </cell>
          <cell r="G3">
            <v>12000</v>
          </cell>
        </row>
        <row r="4">
          <cell r="C4">
            <v>12500</v>
          </cell>
          <cell r="D4">
            <v>12500</v>
          </cell>
          <cell r="E4">
            <v>12500</v>
          </cell>
          <cell r="F4">
            <v>12500</v>
          </cell>
          <cell r="G4">
            <v>12500</v>
          </cell>
        </row>
        <row r="5">
          <cell r="C5">
            <v>5000</v>
          </cell>
          <cell r="D5">
            <v>5000</v>
          </cell>
          <cell r="E5">
            <v>5000</v>
          </cell>
          <cell r="F5">
            <v>5000</v>
          </cell>
          <cell r="G5">
            <v>5000</v>
          </cell>
        </row>
        <row r="6">
          <cell r="C6">
            <v>30000</v>
          </cell>
          <cell r="D6">
            <v>30900</v>
          </cell>
          <cell r="E6">
            <v>31827</v>
          </cell>
          <cell r="F6">
            <v>32781.81</v>
          </cell>
          <cell r="G6">
            <v>33765.264299999995</v>
          </cell>
        </row>
        <row r="7">
          <cell r="C7">
            <v>13390</v>
          </cell>
          <cell r="D7">
            <v>13791.7</v>
          </cell>
          <cell r="E7">
            <v>14205.451000000001</v>
          </cell>
          <cell r="F7">
            <v>14631.614530000001</v>
          </cell>
          <cell r="G7">
            <v>15070.562965900001</v>
          </cell>
        </row>
        <row r="8">
          <cell r="C8">
            <v>9270</v>
          </cell>
          <cell r="D8">
            <v>9548.1</v>
          </cell>
          <cell r="E8">
            <v>9834.5430000000015</v>
          </cell>
          <cell r="F8">
            <v>10129.579290000001</v>
          </cell>
          <cell r="G8">
            <v>10433.466668700003</v>
          </cell>
        </row>
        <row r="9">
          <cell r="C9">
            <v>500</v>
          </cell>
          <cell r="D9">
            <v>500</v>
          </cell>
          <cell r="E9">
            <v>500</v>
          </cell>
          <cell r="F9">
            <v>500</v>
          </cell>
          <cell r="G9">
            <v>500</v>
          </cell>
        </row>
        <row r="10">
          <cell r="C10">
            <v>1500</v>
          </cell>
          <cell r="D10">
            <v>1500</v>
          </cell>
          <cell r="E10">
            <v>1500</v>
          </cell>
          <cell r="F10">
            <v>1500</v>
          </cell>
          <cell r="G10">
            <v>1500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1200</v>
          </cell>
          <cell r="D12">
            <v>1200</v>
          </cell>
          <cell r="E12">
            <v>1200</v>
          </cell>
          <cell r="F12">
            <v>1200</v>
          </cell>
          <cell r="G12">
            <v>1200</v>
          </cell>
        </row>
        <row r="13">
          <cell r="C13">
            <v>6500</v>
          </cell>
          <cell r="D13">
            <v>6500</v>
          </cell>
          <cell r="E13">
            <v>6500</v>
          </cell>
          <cell r="F13">
            <v>6500</v>
          </cell>
          <cell r="G13">
            <v>6500</v>
          </cell>
        </row>
        <row r="14">
          <cell r="C14">
            <v>15000</v>
          </cell>
          <cell r="D14">
            <v>15000</v>
          </cell>
          <cell r="E14">
            <v>15000</v>
          </cell>
          <cell r="F14">
            <v>15000</v>
          </cell>
          <cell r="G14">
            <v>15000</v>
          </cell>
        </row>
        <row r="16">
          <cell r="C16">
            <v>55000</v>
          </cell>
          <cell r="D16">
            <v>60000</v>
          </cell>
          <cell r="E16">
            <v>65000</v>
          </cell>
          <cell r="F16">
            <v>70000</v>
          </cell>
          <cell r="G16">
            <v>75000</v>
          </cell>
        </row>
        <row r="17">
          <cell r="C17">
            <v>55000</v>
          </cell>
          <cell r="D17">
            <v>60000</v>
          </cell>
          <cell r="E17">
            <v>65000</v>
          </cell>
          <cell r="F17">
            <v>70000</v>
          </cell>
          <cell r="G17">
            <v>75000</v>
          </cell>
        </row>
        <row r="19">
          <cell r="C19">
            <v>36000</v>
          </cell>
          <cell r="D19">
            <v>36000</v>
          </cell>
          <cell r="E19">
            <v>38000</v>
          </cell>
          <cell r="F19">
            <v>38000</v>
          </cell>
          <cell r="G19">
            <v>40000</v>
          </cell>
        </row>
      </sheetData>
      <sheetData sheetId="7">
        <row r="26">
          <cell r="B26">
            <v>1787.3459553290743</v>
          </cell>
        </row>
        <row r="27">
          <cell r="B27">
            <v>1772.8565537948223</v>
          </cell>
          <cell r="I27">
            <v>111104</v>
          </cell>
        </row>
        <row r="28">
          <cell r="B28">
            <v>1588.1910293749447</v>
          </cell>
          <cell r="I28">
            <v>111104</v>
          </cell>
        </row>
        <row r="29">
          <cell r="B29">
            <v>1609.559115069987</v>
          </cell>
          <cell r="I29">
            <v>111104</v>
          </cell>
        </row>
        <row r="30">
          <cell r="B30">
            <v>1544.5541861843308</v>
          </cell>
          <cell r="I30">
            <v>111104</v>
          </cell>
        </row>
        <row r="31">
          <cell r="B31">
            <v>1582.5219213123246</v>
          </cell>
          <cell r="I31">
            <v>111104</v>
          </cell>
        </row>
        <row r="32">
          <cell r="B32">
            <v>1518.4214260718898</v>
          </cell>
          <cell r="I32">
            <v>111104</v>
          </cell>
        </row>
        <row r="33">
          <cell r="I33">
            <v>0</v>
          </cell>
        </row>
        <row r="34">
          <cell r="B34">
            <v>1555.4967620470686</v>
          </cell>
          <cell r="I34">
            <v>111104</v>
          </cell>
        </row>
        <row r="35">
          <cell r="B35">
            <v>1541.9882795823703</v>
          </cell>
          <cell r="I35">
            <v>111104</v>
          </cell>
        </row>
        <row r="36">
          <cell r="B36">
            <v>1479.1633384628428</v>
          </cell>
          <cell r="I36">
            <v>111104</v>
          </cell>
        </row>
        <row r="37">
          <cell r="B37">
            <v>1514.8980627317681</v>
          </cell>
          <cell r="I37">
            <v>111104</v>
          </cell>
        </row>
        <row r="38">
          <cell r="B38">
            <v>1452.9256242807714</v>
          </cell>
          <cell r="I38">
            <v>111104</v>
          </cell>
        </row>
        <row r="39">
          <cell r="B39">
            <v>1487.7643653543842</v>
          </cell>
          <cell r="I39">
            <v>111104</v>
          </cell>
        </row>
        <row r="40">
          <cell r="B40">
            <v>1474.2006577903551</v>
          </cell>
          <cell r="H40">
            <v>61482.797287914829</v>
          </cell>
          <cell r="I40">
            <v>111104</v>
          </cell>
        </row>
        <row r="41">
          <cell r="B41">
            <v>1319.2749984666959</v>
          </cell>
          <cell r="H41">
            <v>61344.143412172212</v>
          </cell>
          <cell r="I41">
            <v>111104</v>
          </cell>
        </row>
        <row r="42">
          <cell r="B42">
            <v>1446.9248070596759</v>
          </cell>
          <cell r="H42">
            <v>55282.027706217421</v>
          </cell>
          <cell r="I42">
            <v>111104</v>
          </cell>
        </row>
        <row r="43">
          <cell r="B43">
            <v>1387.0914205833742</v>
          </cell>
          <cell r="H43">
            <v>61049.121748401376</v>
          </cell>
          <cell r="I43">
            <v>111104</v>
          </cell>
        </row>
        <row r="44">
          <cell r="B44">
            <v>1419.6820107784333</v>
          </cell>
          <cell r="H44">
            <v>58944.441364129998</v>
          </cell>
          <cell r="I44">
            <v>111104</v>
          </cell>
        </row>
        <row r="45">
          <cell r="B45">
            <v>1360.7059284963391</v>
          </cell>
          <cell r="H45">
            <v>60763.509408178004</v>
          </cell>
          <cell r="I45">
            <v>111104</v>
          </cell>
        </row>
        <row r="46">
          <cell r="I46">
            <v>0</v>
          </cell>
        </row>
        <row r="47">
          <cell r="B47">
            <v>1392.3954890763187</v>
          </cell>
          <cell r="H47">
            <v>58667.269998136217</v>
          </cell>
          <cell r="I47">
            <v>111104</v>
          </cell>
        </row>
        <row r="48">
          <cell r="B48">
            <v>1378.754023217549</v>
          </cell>
          <cell r="H48">
            <v>60476.324511510902</v>
          </cell>
          <cell r="I48">
            <v>111104</v>
          </cell>
        </row>
        <row r="49">
          <cell r="B49">
            <v>1321.0659047345514</v>
          </cell>
          <cell r="H49">
            <v>60334.858302659632</v>
          </cell>
          <cell r="I49">
            <v>111104</v>
          </cell>
        </row>
        <row r="50">
          <cell r="B50">
            <v>1351.4018109944218</v>
          </cell>
          <cell r="H50">
            <v>58251.287228069763</v>
          </cell>
          <cell r="I50">
            <v>111104</v>
          </cell>
        </row>
        <row r="51">
          <cell r="B51">
            <v>1294.5744399184689</v>
          </cell>
          <cell r="H51">
            <v>60045.313290678227</v>
          </cell>
          <cell r="I51">
            <v>111104</v>
          </cell>
        </row>
        <row r="52">
          <cell r="B52">
            <v>1324.0056977348918</v>
          </cell>
          <cell r="H52">
            <v>57970.299416321832</v>
          </cell>
          <cell r="I52">
            <v>111104</v>
          </cell>
        </row>
        <row r="53">
          <cell r="B53">
            <v>1310.3084707750174</v>
          </cell>
          <cell r="H53">
            <v>59754.174069308021</v>
          </cell>
          <cell r="I53">
            <v>111104</v>
          </cell>
        </row>
        <row r="54">
          <cell r="B54">
            <v>1171.1226491858552</v>
          </cell>
          <cell r="H54">
            <v>59610.689994056738</v>
          </cell>
          <cell r="I54">
            <v>111104</v>
          </cell>
        </row>
        <row r="55">
          <cell r="B55">
            <v>1282.7781968826894</v>
          </cell>
          <cell r="H55">
            <v>53711.952893217691</v>
          </cell>
          <cell r="I55">
            <v>111104</v>
          </cell>
        </row>
        <row r="56">
          <cell r="B56">
            <v>1228.1103439264002</v>
          </cell>
          <cell r="H56">
            <v>59306.437457839565</v>
          </cell>
          <cell r="I56">
            <v>111104</v>
          </cell>
        </row>
        <row r="57">
          <cell r="B57">
            <v>1255.2719408765106</v>
          </cell>
          <cell r="H57">
            <v>57253.260286543598</v>
          </cell>
          <cell r="I57">
            <v>111104</v>
          </cell>
        </row>
        <row r="58">
          <cell r="B58">
            <v>1201.4696829346826</v>
          </cell>
          <cell r="H58">
            <v>59011.230051071063</v>
          </cell>
          <cell r="I58">
            <v>111104</v>
          </cell>
        </row>
        <row r="59">
          <cell r="B59">
            <v>1227.7215365895138</v>
          </cell>
          <cell r="H59">
            <v>56966.777426168876</v>
          </cell>
          <cell r="I59">
            <v>111104</v>
          </cell>
        </row>
        <row r="60">
          <cell r="B60">
            <v>1213.9458050642781</v>
          </cell>
          <cell r="H60">
            <v>58714.397258265672</v>
          </cell>
          <cell r="I60">
            <v>111104</v>
          </cell>
        </row>
        <row r="61">
          <cell r="B61">
            <v>1161.4440402581934</v>
          </cell>
          <cell r="H61">
            <v>58568.007790221047</v>
          </cell>
          <cell r="I61">
            <v>111104</v>
          </cell>
        </row>
        <row r="62">
          <cell r="B62">
            <v>1186.3290712176147</v>
          </cell>
          <cell r="H62">
            <v>56536.654136038705</v>
          </cell>
          <cell r="I62">
            <v>111104</v>
          </cell>
        </row>
        <row r="63">
          <cell r="B63">
            <v>1134.6963780557412</v>
          </cell>
          <cell r="H63">
            <v>58268.734654600754</v>
          </cell>
          <cell r="I63">
            <v>111104</v>
          </cell>
        </row>
        <row r="64">
          <cell r="B64">
            <v>1158.6680117702278</v>
          </cell>
          <cell r="H64">
            <v>56246.225705179422</v>
          </cell>
          <cell r="I64">
            <v>111104</v>
          </cell>
        </row>
        <row r="65">
          <cell r="B65">
            <v>1144.8359779737968</v>
          </cell>
          <cell r="H65">
            <v>57967.81374739785</v>
          </cell>
          <cell r="I65">
            <v>111104</v>
          </cell>
        </row>
        <row r="66">
          <cell r="B66">
            <v>1058.0253975371581</v>
          </cell>
          <cell r="H66">
            <v>57819.338140934764</v>
          </cell>
          <cell r="I66">
            <v>111104</v>
          </cell>
        </row>
        <row r="67">
          <cell r="B67">
            <v>1117.0785743391448</v>
          </cell>
          <cell r="H67">
            <v>53949.773614628604</v>
          </cell>
          <cell r="I67">
            <v>111104</v>
          </cell>
        </row>
        <row r="68">
          <cell r="B68">
            <v>1067.6251266854031</v>
          </cell>
          <cell r="H68">
            <v>57510.744655673116</v>
          </cell>
          <cell r="I68">
            <v>111104</v>
          </cell>
        </row>
        <row r="69">
          <cell r="B69">
            <v>1089.3063659814047</v>
          </cell>
          <cell r="H69">
            <v>55510.637308515259</v>
          </cell>
          <cell r="I69">
            <v>111104</v>
          </cell>
        </row>
        <row r="70">
          <cell r="B70">
            <v>1040.7268826029044</v>
          </cell>
          <cell r="H70">
            <v>57205.650322153328</v>
          </cell>
          <cell r="I70">
            <v>111104</v>
          </cell>
        </row>
        <row r="71">
          <cell r="B71">
            <v>1061.4895824821681</v>
          </cell>
          <cell r="H71">
            <v>55214.559719176832</v>
          </cell>
          <cell r="I71">
            <v>111104</v>
          </cell>
        </row>
        <row r="72">
          <cell r="B72">
            <v>1047.5783149855838</v>
          </cell>
          <cell r="H72">
            <v>56898.876166046888</v>
          </cell>
          <cell r="I72">
            <v>111104</v>
          </cell>
        </row>
        <row r="73">
          <cell r="B73">
            <v>1000.3119726211519</v>
          </cell>
          <cell r="H73">
            <v>56747.413684407853</v>
          </cell>
          <cell r="I73">
            <v>111104</v>
          </cell>
        </row>
        <row r="74">
          <cell r="B74">
            <v>1019.6945568419994</v>
          </cell>
          <cell r="H74">
            <v>54769.865786369228</v>
          </cell>
          <cell r="I74">
            <v>111104</v>
          </cell>
        </row>
        <row r="75">
          <cell r="B75">
            <v>973.30568911563228</v>
          </cell>
          <cell r="H75">
            <v>56438.116517646886</v>
          </cell>
          <cell r="I75">
            <v>111104</v>
          </cell>
        </row>
        <row r="76">
          <cell r="B76">
            <v>991.76604451651167</v>
          </cell>
          <cell r="H76">
            <v>54469.709574133798</v>
          </cell>
          <cell r="I76">
            <v>111104</v>
          </cell>
        </row>
        <row r="77">
          <cell r="B77">
            <v>977.79792845856116</v>
          </cell>
          <cell r="H77">
            <v>56127.116387868824</v>
          </cell>
          <cell r="I77">
            <v>111104</v>
          </cell>
        </row>
        <row r="78">
          <cell r="B78">
            <v>870.54567293121988</v>
          </cell>
          <cell r="H78">
            <v>55973.497419112624</v>
          </cell>
          <cell r="I78">
            <v>111104</v>
          </cell>
        </row>
        <row r="79">
          <cell r="B79">
            <v>949.75147142780372</v>
          </cell>
          <cell r="H79">
            <v>50417.567020329487</v>
          </cell>
          <cell r="I79">
            <v>111104</v>
          </cell>
        </row>
        <row r="80">
          <cell r="B80">
            <v>905.56364429441953</v>
          </cell>
          <cell r="H80">
            <v>55649.876343555879</v>
          </cell>
          <cell r="I80">
            <v>111104</v>
          </cell>
        </row>
        <row r="81">
          <cell r="B81">
            <v>921.71069856873191</v>
          </cell>
          <cell r="H81">
            <v>53704.765014619596</v>
          </cell>
          <cell r="I81">
            <v>111104</v>
          </cell>
        </row>
        <row r="82">
          <cell r="B82">
            <v>878.40528717317159</v>
          </cell>
          <cell r="H82">
            <v>55334.536232655068</v>
          </cell>
          <cell r="I82">
            <v>111104</v>
          </cell>
        </row>
        <row r="83">
          <cell r="B83">
            <v>893.62491951491495</v>
          </cell>
          <cell r="H83">
            <v>53398.744451143044</v>
          </cell>
          <cell r="I83">
            <v>111104</v>
          </cell>
        </row>
        <row r="84">
          <cell r="B84">
            <v>879.57678483011387</v>
          </cell>
          <cell r="H84">
            <v>55017.459886817829</v>
          </cell>
          <cell r="I84">
            <v>111104</v>
          </cell>
        </row>
        <row r="85">
          <cell r="B85">
            <v>837.59728655278025</v>
          </cell>
          <cell r="H85">
            <v>54860.740264183754</v>
          </cell>
          <cell r="I85">
            <v>111104</v>
          </cell>
        </row>
        <row r="86">
          <cell r="B86">
            <v>851.42337971132883</v>
          </cell>
          <cell r="H86">
            <v>52938.951027368574</v>
          </cell>
          <cell r="I86">
            <v>111104</v>
          </cell>
        </row>
        <row r="87">
          <cell r="B87">
            <v>810.32984159903788</v>
          </cell>
          <cell r="H87">
            <v>54541.055239384448</v>
          </cell>
          <cell r="I87">
            <v>111104</v>
          </cell>
        </row>
        <row r="88">
          <cell r="H88">
            <v>52628.713959383043</v>
          </cell>
          <cell r="I88">
            <v>111104</v>
          </cell>
        </row>
        <row r="89">
          <cell r="H89">
            <v>54219.610056934645</v>
          </cell>
        </row>
        <row r="90">
          <cell r="H90">
            <v>54060.661045145796</v>
          </cell>
        </row>
        <row r="91">
          <cell r="H91">
            <v>48685.016159274273</v>
          </cell>
        </row>
        <row r="92">
          <cell r="H92">
            <v>53726.853858791779</v>
          </cell>
        </row>
        <row r="93">
          <cell r="H93">
            <v>51838.575449693992</v>
          </cell>
        </row>
        <row r="94">
          <cell r="H94">
            <v>53400.92575509788</v>
          </cell>
        </row>
        <row r="95">
          <cell r="H95">
            <v>51522.279810486121</v>
          </cell>
        </row>
        <row r="96">
          <cell r="H96">
            <v>53073.203119909762</v>
          </cell>
        </row>
        <row r="97">
          <cell r="H97">
            <v>52911.05076446318</v>
          </cell>
        </row>
        <row r="98">
          <cell r="H98">
            <v>51046.882563244551</v>
          </cell>
        </row>
        <row r="99">
          <cell r="H99">
            <v>52580.630920630101</v>
          </cell>
        </row>
        <row r="100">
          <cell r="H100">
            <v>50726.227932583141</v>
          </cell>
        </row>
      </sheetData>
      <sheetData sheetId="8">
        <row r="8">
          <cell r="C8">
            <v>300</v>
          </cell>
          <cell r="D8">
            <v>300</v>
          </cell>
          <cell r="E8">
            <v>300</v>
          </cell>
          <cell r="F8">
            <v>300</v>
          </cell>
          <cell r="G8">
            <v>300</v>
          </cell>
        </row>
        <row r="17">
          <cell r="C17">
            <v>2000</v>
          </cell>
          <cell r="D17">
            <v>2000</v>
          </cell>
          <cell r="E17">
            <v>2000</v>
          </cell>
          <cell r="F17">
            <v>2000</v>
          </cell>
          <cell r="G17">
            <v>2000</v>
          </cell>
        </row>
        <row r="18">
          <cell r="C18">
            <v>3000</v>
          </cell>
          <cell r="D18">
            <v>3000</v>
          </cell>
          <cell r="E18">
            <v>3000</v>
          </cell>
          <cell r="F18">
            <v>3000</v>
          </cell>
          <cell r="G18">
            <v>3000</v>
          </cell>
        </row>
        <row r="19">
          <cell r="C19">
            <v>900</v>
          </cell>
          <cell r="D19">
            <v>900</v>
          </cell>
          <cell r="E19">
            <v>900</v>
          </cell>
          <cell r="F19">
            <v>900</v>
          </cell>
          <cell r="G19">
            <v>900</v>
          </cell>
        </row>
        <row r="20">
          <cell r="C20">
            <v>10000</v>
          </cell>
          <cell r="D20">
            <v>10000</v>
          </cell>
          <cell r="E20">
            <v>10000</v>
          </cell>
          <cell r="F20">
            <v>10000</v>
          </cell>
          <cell r="G20">
            <v>10000</v>
          </cell>
        </row>
      </sheetData>
      <sheetData sheetId="9">
        <row r="4">
          <cell r="C4">
            <v>20000</v>
          </cell>
          <cell r="D4">
            <v>20000</v>
          </cell>
          <cell r="E4">
            <v>20000</v>
          </cell>
          <cell r="F4">
            <v>20000</v>
          </cell>
          <cell r="G4">
            <v>20000</v>
          </cell>
        </row>
        <row r="5">
          <cell r="C5">
            <v>100000</v>
          </cell>
          <cell r="D5">
            <v>100000</v>
          </cell>
          <cell r="E5">
            <v>100000</v>
          </cell>
          <cell r="F5">
            <v>100000</v>
          </cell>
          <cell r="G5">
            <v>100000</v>
          </cell>
        </row>
        <row r="6">
          <cell r="C6">
            <v>32000</v>
          </cell>
          <cell r="D6">
            <v>32000</v>
          </cell>
          <cell r="E6">
            <v>600</v>
          </cell>
          <cell r="F6">
            <v>600</v>
          </cell>
          <cell r="G6">
            <v>600</v>
          </cell>
        </row>
        <row r="11">
          <cell r="C11">
            <v>21000</v>
          </cell>
          <cell r="D11">
            <v>21500</v>
          </cell>
          <cell r="E11">
            <v>22000</v>
          </cell>
          <cell r="F11">
            <v>23000</v>
          </cell>
          <cell r="G11">
            <v>24000</v>
          </cell>
        </row>
        <row r="12">
          <cell r="C12">
            <v>500</v>
          </cell>
          <cell r="D12">
            <v>500</v>
          </cell>
          <cell r="E12">
            <v>500</v>
          </cell>
          <cell r="F12">
            <v>500</v>
          </cell>
          <cell r="G12">
            <v>500</v>
          </cell>
        </row>
        <row r="14">
          <cell r="C14">
            <v>250</v>
          </cell>
          <cell r="D14">
            <v>250</v>
          </cell>
          <cell r="E14">
            <v>250</v>
          </cell>
          <cell r="F14">
            <v>250</v>
          </cell>
          <cell r="G14">
            <v>250</v>
          </cell>
        </row>
        <row r="15">
          <cell r="C15">
            <v>240</v>
          </cell>
          <cell r="D15">
            <v>240</v>
          </cell>
          <cell r="E15">
            <v>240</v>
          </cell>
          <cell r="F15">
            <v>240</v>
          </cell>
          <cell r="G15">
            <v>240</v>
          </cell>
        </row>
        <row r="17">
          <cell r="E17">
            <v>2500</v>
          </cell>
          <cell r="F17">
            <v>2500</v>
          </cell>
          <cell r="G17">
            <v>2500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tabSelected="1" zoomScaleNormal="100" workbookViewId="0">
      <pane xSplit="1" ySplit="1" topLeftCell="B188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ColWidth="9.109375" defaultRowHeight="14.4" x14ac:dyDescent="0.3"/>
  <cols>
    <col min="1" max="1" width="43.88671875" style="4" customWidth="1"/>
    <col min="2" max="6" width="13.88671875" style="6" customWidth="1"/>
    <col min="7" max="9" width="14.33203125" style="6" customWidth="1"/>
    <col min="10" max="16384" width="9.109375" style="4"/>
  </cols>
  <sheetData>
    <row r="1" spans="1:9" ht="55.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>
        <v>2022</v>
      </c>
      <c r="F1" s="3">
        <v>2023</v>
      </c>
      <c r="G1" s="3">
        <v>2024</v>
      </c>
      <c r="H1" s="3">
        <v>2025</v>
      </c>
      <c r="I1" s="3">
        <v>2026</v>
      </c>
    </row>
    <row r="2" spans="1:9" x14ac:dyDescent="0.3">
      <c r="A2" s="5" t="s">
        <v>4</v>
      </c>
    </row>
    <row r="4" spans="1:9" x14ac:dyDescent="0.3">
      <c r="A4" s="5" t="s">
        <v>5</v>
      </c>
    </row>
    <row r="5" spans="1:9" x14ac:dyDescent="0.3">
      <c r="A5" s="7" t="s">
        <v>6</v>
      </c>
      <c r="B5" s="8">
        <v>3071058</v>
      </c>
      <c r="C5" s="8">
        <v>3964952</v>
      </c>
      <c r="D5" s="8">
        <f>+'[1]Budget by Month'!O5</f>
        <v>3701326</v>
      </c>
      <c r="E5" s="8">
        <f>+[1]Revenues!F27</f>
        <v>4027880</v>
      </c>
      <c r="F5" s="8">
        <f>+[1]Revenues!H27</f>
        <v>4136410</v>
      </c>
      <c r="G5" s="8">
        <f>+[1]Revenues!J27</f>
        <v>4242550</v>
      </c>
      <c r="H5" s="8">
        <f>+[1]Revenues!L27</f>
        <v>4351190</v>
      </c>
      <c r="I5" s="8">
        <f>+[1]Revenues!N27</f>
        <v>4464430</v>
      </c>
    </row>
    <row r="6" spans="1:9" x14ac:dyDescent="0.3">
      <c r="A6" s="7" t="s">
        <v>7</v>
      </c>
      <c r="B6" s="9"/>
      <c r="C6" s="9"/>
      <c r="D6" s="9"/>
      <c r="E6" s="9">
        <f>+[1]Revenues!F29</f>
        <v>-40278.800000000003</v>
      </c>
      <c r="F6" s="9">
        <f>+[1]Revenues!H29</f>
        <v>-41364.1</v>
      </c>
      <c r="G6" s="9">
        <f>+[1]Revenues!J29</f>
        <v>-42425.5</v>
      </c>
      <c r="H6" s="9">
        <f>+[1]Revenues!L29</f>
        <v>-43511.9</v>
      </c>
      <c r="I6" s="9">
        <f>+[1]Revenues!N29</f>
        <v>-44644.3</v>
      </c>
    </row>
    <row r="7" spans="1:9" x14ac:dyDescent="0.3">
      <c r="A7" s="7" t="s">
        <v>8</v>
      </c>
      <c r="B7" s="9">
        <v>-31233</v>
      </c>
      <c r="C7" s="9">
        <v>-60000</v>
      </c>
      <c r="D7" s="9">
        <f>+'[1]Budget by Month'!O6</f>
        <v>-72335</v>
      </c>
      <c r="E7" s="9">
        <f>+[1]Revenues!F30</f>
        <v>-82500</v>
      </c>
      <c r="F7" s="9">
        <f>+[1]Revenues!H30</f>
        <v>-82500</v>
      </c>
      <c r="G7" s="9">
        <f>+[1]Revenues!J30</f>
        <v>-82500</v>
      </c>
      <c r="H7" s="9">
        <f>+[1]Revenues!L30</f>
        <v>-82500</v>
      </c>
      <c r="I7" s="9">
        <f>+[1]Revenues!N30</f>
        <v>-82500</v>
      </c>
    </row>
    <row r="8" spans="1:9" x14ac:dyDescent="0.3">
      <c r="A8" s="7" t="s">
        <v>9</v>
      </c>
      <c r="B8" s="8">
        <v>21115</v>
      </c>
      <c r="C8" s="8">
        <v>21600</v>
      </c>
      <c r="D8" s="8">
        <f>+'[1]Budget by Month'!O8</f>
        <v>10031</v>
      </c>
      <c r="E8" s="8">
        <f>+[1]Revenues!F41</f>
        <v>0</v>
      </c>
      <c r="F8" s="8">
        <f>+[1]Revenues!H41</f>
        <v>0</v>
      </c>
      <c r="G8" s="8">
        <f>+[1]Revenues!J41</f>
        <v>0</v>
      </c>
      <c r="H8" s="8">
        <f>+[1]Revenues!L41</f>
        <v>0</v>
      </c>
      <c r="I8" s="8">
        <f>+[1]Revenues!N41</f>
        <v>0</v>
      </c>
    </row>
    <row r="9" spans="1:9" x14ac:dyDescent="0.3">
      <c r="A9" s="7" t="s">
        <v>10</v>
      </c>
      <c r="B9" s="8">
        <v>49570</v>
      </c>
      <c r="C9" s="8">
        <v>60000</v>
      </c>
      <c r="D9" s="8">
        <f>+'[1]Budget by Month'!O9</f>
        <v>55708</v>
      </c>
      <c r="E9" s="8">
        <f>+[1]Revenues!F43</f>
        <v>60000</v>
      </c>
      <c r="F9" s="8">
        <f>+[1]Revenues!H43</f>
        <v>65000</v>
      </c>
      <c r="G9" s="8">
        <f>+[1]Revenues!J43</f>
        <v>70000</v>
      </c>
      <c r="H9" s="8">
        <f>+[1]Revenues!L43</f>
        <v>72500</v>
      </c>
      <c r="I9" s="8">
        <f>+[1]Revenues!N43</f>
        <v>75000</v>
      </c>
    </row>
    <row r="10" spans="1:9" x14ac:dyDescent="0.3">
      <c r="A10" s="7" t="s">
        <v>11</v>
      </c>
      <c r="B10" s="8">
        <v>45212</v>
      </c>
      <c r="C10" s="8">
        <v>64800</v>
      </c>
      <c r="D10" s="8">
        <f>+'[1]Budget by Month'!O10</f>
        <v>55139</v>
      </c>
      <c r="E10" s="8">
        <f>+[1]Revenues!F46</f>
        <v>60480</v>
      </c>
      <c r="F10" s="8">
        <f>+[1]Revenues!H46</f>
        <v>63000</v>
      </c>
      <c r="G10" s="8">
        <f>+[1]Revenues!J46</f>
        <v>63000</v>
      </c>
      <c r="H10" s="8">
        <f>+[1]Revenues!L46</f>
        <v>63000</v>
      </c>
      <c r="I10" s="8">
        <f>+[1]Revenues!N46</f>
        <v>63000</v>
      </c>
    </row>
    <row r="11" spans="1:9" x14ac:dyDescent="0.3">
      <c r="A11" s="7" t="s">
        <v>12</v>
      </c>
      <c r="B11" s="8">
        <v>0</v>
      </c>
      <c r="C11" s="8">
        <v>2500</v>
      </c>
      <c r="D11" s="8">
        <f>+'[1]Budget by Month'!O12</f>
        <v>600</v>
      </c>
      <c r="E11" s="8">
        <f>+[1]Revenues!F50</f>
        <v>5000</v>
      </c>
      <c r="F11" s="8">
        <f>+[1]Revenues!H50</f>
        <v>7500</v>
      </c>
      <c r="G11" s="8">
        <f>+[1]Revenues!J50</f>
        <v>7500</v>
      </c>
      <c r="H11" s="8">
        <f>+[1]Revenues!L50</f>
        <v>7500</v>
      </c>
      <c r="I11" s="8">
        <f>+[1]Revenues!N50</f>
        <v>7500</v>
      </c>
    </row>
    <row r="12" spans="1:9" x14ac:dyDescent="0.3">
      <c r="A12" s="7" t="s">
        <v>13</v>
      </c>
      <c r="B12" s="10">
        <v>1470</v>
      </c>
      <c r="C12" s="10">
        <v>2500</v>
      </c>
      <c r="D12" s="10">
        <f>+'[1]Budget by Month'!O13</f>
        <v>5730</v>
      </c>
      <c r="E12" s="10">
        <f>+[1]Revenues!F48</f>
        <v>5000</v>
      </c>
      <c r="F12" s="10">
        <f>+[1]Revenues!H48</f>
        <v>5000</v>
      </c>
      <c r="G12" s="10">
        <f>+[1]Revenues!J48</f>
        <v>5000</v>
      </c>
      <c r="H12" s="10">
        <f>+[1]Revenues!L48</f>
        <v>5000</v>
      </c>
      <c r="I12" s="10">
        <f>+[1]Revenues!N48</f>
        <v>5000</v>
      </c>
    </row>
    <row r="13" spans="1:9" x14ac:dyDescent="0.3">
      <c r="A13" s="7" t="s">
        <v>14</v>
      </c>
      <c r="B13" s="8">
        <f t="shared" ref="B13:I13" si="0">SUM(B5:B12)</f>
        <v>3157192</v>
      </c>
      <c r="C13" s="8">
        <f t="shared" si="0"/>
        <v>4056352</v>
      </c>
      <c r="D13" s="8">
        <f t="shared" si="0"/>
        <v>3756199</v>
      </c>
      <c r="E13" s="8">
        <f t="shared" si="0"/>
        <v>4035581.2</v>
      </c>
      <c r="F13" s="8">
        <f t="shared" si="0"/>
        <v>4153045.9</v>
      </c>
      <c r="G13" s="8">
        <f t="shared" si="0"/>
        <v>4263124.5</v>
      </c>
      <c r="H13" s="8">
        <f t="shared" si="0"/>
        <v>4373178.0999999996</v>
      </c>
      <c r="I13" s="8">
        <f t="shared" si="0"/>
        <v>4487785.7</v>
      </c>
    </row>
    <row r="14" spans="1:9" x14ac:dyDescent="0.3">
      <c r="A14" s="7" t="s">
        <v>15</v>
      </c>
      <c r="B14" s="8">
        <v>361713</v>
      </c>
      <c r="C14" s="8">
        <v>396402</v>
      </c>
      <c r="D14" s="8">
        <f>+'[1]Budget by Month'!O7</f>
        <v>382760</v>
      </c>
      <c r="E14" s="8">
        <f>+[1]Revenues!F87</f>
        <v>405222</v>
      </c>
      <c r="F14" s="8">
        <f>+[1]Revenues!H87</f>
        <v>436398</v>
      </c>
      <c r="G14" s="8">
        <f>+[1]Revenues!J87</f>
        <v>451947</v>
      </c>
      <c r="H14" s="8">
        <f>+[1]Revenues!L87</f>
        <v>479974.2</v>
      </c>
      <c r="I14" s="8">
        <f>+[1]Revenues!N87</f>
        <v>496699.2</v>
      </c>
    </row>
    <row r="15" spans="1:9" x14ac:dyDescent="0.3">
      <c r="A15" s="7" t="s">
        <v>16</v>
      </c>
      <c r="B15" s="8">
        <v>48290</v>
      </c>
      <c r="C15" s="8">
        <v>48288</v>
      </c>
      <c r="D15" s="8">
        <f>+'[1]Budget by Month'!O15</f>
        <v>48288</v>
      </c>
      <c r="E15" s="8">
        <f>+[1]Revenues!F54</f>
        <v>48288</v>
      </c>
      <c r="F15" s="8">
        <f>+[1]Revenues!H54</f>
        <v>48288</v>
      </c>
      <c r="G15" s="8">
        <f>+[1]Revenues!J54</f>
        <v>48288</v>
      </c>
      <c r="H15" s="8">
        <f>+[1]Revenues!L54</f>
        <v>48288</v>
      </c>
      <c r="I15" s="8">
        <f>+[1]Revenues!N54</f>
        <v>48288</v>
      </c>
    </row>
    <row r="16" spans="1:9" x14ac:dyDescent="0.3">
      <c r="A16" s="7" t="s">
        <v>17</v>
      </c>
      <c r="B16" s="8">
        <v>172644</v>
      </c>
      <c r="C16" s="8">
        <v>151116</v>
      </c>
      <c r="D16" s="8">
        <f>+'[1]Budget by Month'!O16</f>
        <v>113040</v>
      </c>
      <c r="E16" s="8">
        <f>+[1]Revenues!F57</f>
        <v>0</v>
      </c>
      <c r="F16" s="8">
        <v>0</v>
      </c>
      <c r="G16" s="8">
        <v>0</v>
      </c>
      <c r="H16" s="8">
        <v>0</v>
      </c>
      <c r="I16" s="8">
        <v>0</v>
      </c>
    </row>
    <row r="17" spans="1:9" x14ac:dyDescent="0.3">
      <c r="A17" s="7" t="s">
        <v>18</v>
      </c>
      <c r="B17" s="8">
        <v>1640</v>
      </c>
      <c r="C17" s="8">
        <v>300</v>
      </c>
      <c r="D17" s="8">
        <f>+'[1]Budget by Month'!O11</f>
        <v>3103</v>
      </c>
      <c r="E17" s="8">
        <v>2400</v>
      </c>
      <c r="F17" s="8">
        <v>2400</v>
      </c>
      <c r="G17" s="8">
        <v>2400</v>
      </c>
      <c r="H17" s="8">
        <v>2400</v>
      </c>
      <c r="I17" s="8">
        <v>2400</v>
      </c>
    </row>
    <row r="18" spans="1:9" x14ac:dyDescent="0.3">
      <c r="A18" s="7" t="s">
        <v>19</v>
      </c>
      <c r="B18" s="8">
        <v>17054</v>
      </c>
      <c r="C18" s="8">
        <v>16000</v>
      </c>
      <c r="D18" s="8">
        <f>+'[1]Budget by Month'!O17</f>
        <v>16557.666666666664</v>
      </c>
      <c r="E18" s="8">
        <f t="shared" ref="E18:I18" si="1">+E144</f>
        <v>15900</v>
      </c>
      <c r="F18" s="8">
        <f t="shared" si="1"/>
        <v>15900</v>
      </c>
      <c r="G18" s="8">
        <f t="shared" si="1"/>
        <v>15900</v>
      </c>
      <c r="H18" s="8">
        <f t="shared" si="1"/>
        <v>15900</v>
      </c>
      <c r="I18" s="8">
        <f t="shared" si="1"/>
        <v>15900</v>
      </c>
    </row>
    <row r="19" spans="1:9" x14ac:dyDescent="0.3">
      <c r="A19" s="7" t="s">
        <v>20</v>
      </c>
      <c r="B19" s="8">
        <v>40038</v>
      </c>
      <c r="C19" s="8">
        <v>12000</v>
      </c>
      <c r="D19" s="8">
        <f>+'[1]Budget by Month'!O18</f>
        <v>9397</v>
      </c>
      <c r="E19" s="8">
        <f>+[1]Revenues!F67</f>
        <v>12000</v>
      </c>
      <c r="F19" s="8">
        <f>+[1]Revenues!H67</f>
        <v>12000</v>
      </c>
      <c r="G19" s="8">
        <f>+[1]Revenues!J67</f>
        <v>12000</v>
      </c>
      <c r="H19" s="8">
        <f>+[1]Revenues!L67</f>
        <v>12000</v>
      </c>
      <c r="I19" s="8">
        <f>+[1]Revenues!N67</f>
        <v>12000</v>
      </c>
    </row>
    <row r="20" spans="1:9" x14ac:dyDescent="0.3">
      <c r="A20" s="7" t="s">
        <v>21</v>
      </c>
      <c r="B20" s="8">
        <v>2697</v>
      </c>
      <c r="C20" s="8">
        <v>0</v>
      </c>
      <c r="D20" s="8">
        <f>+'[1]Budget by Month'!O19</f>
        <v>2003</v>
      </c>
      <c r="E20" s="8">
        <v>2000</v>
      </c>
      <c r="F20" s="8">
        <v>2000</v>
      </c>
      <c r="G20" s="8">
        <v>2000</v>
      </c>
      <c r="H20" s="8">
        <v>2000</v>
      </c>
      <c r="I20" s="8">
        <v>2000</v>
      </c>
    </row>
    <row r="21" spans="1:9" x14ac:dyDescent="0.3">
      <c r="A21" s="7" t="s">
        <v>22</v>
      </c>
      <c r="B21" s="8">
        <v>0</v>
      </c>
      <c r="C21" s="8">
        <v>40000</v>
      </c>
      <c r="D21" s="8">
        <f>+'[1]Budget by Month'!O20</f>
        <v>10800</v>
      </c>
      <c r="E21" s="8">
        <f>+[1]Revenues!F70</f>
        <v>0</v>
      </c>
      <c r="F21" s="8">
        <f>+[1]Revenues!H70</f>
        <v>0</v>
      </c>
      <c r="G21" s="8">
        <f>+[1]Revenues!J70</f>
        <v>0</v>
      </c>
      <c r="H21" s="8">
        <f>+[1]Revenues!L70</f>
        <v>0</v>
      </c>
      <c r="I21" s="8">
        <f>+[1]Revenues!N70</f>
        <v>0</v>
      </c>
    </row>
    <row r="22" spans="1:9" x14ac:dyDescent="0.3">
      <c r="A22" s="7" t="s">
        <v>23</v>
      </c>
      <c r="B22" s="8">
        <v>4750</v>
      </c>
      <c r="C22" s="8">
        <v>0</v>
      </c>
      <c r="D22" s="8">
        <f>+'[1]Budget by Month'!O21</f>
        <v>131</v>
      </c>
      <c r="E22" s="8"/>
      <c r="F22" s="8"/>
      <c r="G22" s="8"/>
      <c r="H22" s="8"/>
      <c r="I22" s="8"/>
    </row>
    <row r="23" spans="1:9" x14ac:dyDescent="0.3">
      <c r="A23" s="7" t="s">
        <v>24</v>
      </c>
      <c r="B23" s="8">
        <v>34307</v>
      </c>
      <c r="C23" s="8">
        <v>0</v>
      </c>
      <c r="D23" s="8">
        <f>+'[1]Budget by Month'!O22</f>
        <v>1667</v>
      </c>
      <c r="E23" s="8"/>
      <c r="F23" s="8"/>
      <c r="G23" s="8"/>
      <c r="H23" s="8"/>
      <c r="I23" s="8"/>
    </row>
    <row r="24" spans="1:9" x14ac:dyDescent="0.3">
      <c r="A24" s="5" t="s">
        <v>25</v>
      </c>
      <c r="B24" s="11">
        <f t="shared" ref="B24:I24" si="2">SUM(B13:B23)</f>
        <v>3840325</v>
      </c>
      <c r="C24" s="11">
        <f t="shared" si="2"/>
        <v>4720458</v>
      </c>
      <c r="D24" s="11">
        <f t="shared" si="2"/>
        <v>4343945.666666667</v>
      </c>
      <c r="E24" s="11">
        <f t="shared" si="2"/>
        <v>4521391.2</v>
      </c>
      <c r="F24" s="11">
        <f t="shared" si="2"/>
        <v>4670031.9000000004</v>
      </c>
      <c r="G24" s="11">
        <f t="shared" si="2"/>
        <v>4795659.5</v>
      </c>
      <c r="H24" s="11">
        <f t="shared" si="2"/>
        <v>4933740.3</v>
      </c>
      <c r="I24" s="11">
        <f t="shared" si="2"/>
        <v>5065072.9000000004</v>
      </c>
    </row>
    <row r="26" spans="1:9" x14ac:dyDescent="0.3">
      <c r="A26" s="5" t="s">
        <v>26</v>
      </c>
    </row>
    <row r="27" spans="1:9" x14ac:dyDescent="0.3">
      <c r="A27" s="7" t="s">
        <v>27</v>
      </c>
      <c r="B27" s="8">
        <v>11290</v>
      </c>
      <c r="C27" s="8">
        <v>15000</v>
      </c>
      <c r="D27" s="8">
        <f>+'[1]Budget by Month'!O24</f>
        <v>11490</v>
      </c>
      <c r="E27" s="8">
        <f>+[1]Society!C4</f>
        <v>20000</v>
      </c>
      <c r="F27" s="8">
        <f>+[1]Society!D4</f>
        <v>20000</v>
      </c>
      <c r="G27" s="8">
        <f>+[1]Society!E4</f>
        <v>20000</v>
      </c>
      <c r="H27" s="8">
        <f>+[1]Society!F4</f>
        <v>20000</v>
      </c>
      <c r="I27" s="8">
        <f>+[1]Society!G4</f>
        <v>20000</v>
      </c>
    </row>
    <row r="28" spans="1:9" x14ac:dyDescent="0.3">
      <c r="A28" s="7" t="s">
        <v>28</v>
      </c>
      <c r="B28" s="8">
        <f>27268+15564</f>
        <v>42832</v>
      </c>
      <c r="C28" s="8">
        <v>50000</v>
      </c>
      <c r="D28" s="8">
        <f>+'[1]Budget by Month'!O25</f>
        <v>7174193.1399999997</v>
      </c>
      <c r="E28" s="8">
        <f>+[1]Society!C5</f>
        <v>100000</v>
      </c>
      <c r="F28" s="8">
        <f>+[1]Society!D5</f>
        <v>100000</v>
      </c>
      <c r="G28" s="8">
        <f>+[1]Society!E5</f>
        <v>100000</v>
      </c>
      <c r="H28" s="8">
        <f>+[1]Society!F5</f>
        <v>100000</v>
      </c>
      <c r="I28" s="8">
        <f>+[1]Society!G5</f>
        <v>100000</v>
      </c>
    </row>
    <row r="29" spans="1:9" x14ac:dyDescent="0.3">
      <c r="A29" s="7" t="s">
        <v>29</v>
      </c>
      <c r="B29" s="8">
        <f>9034+1354+22690</f>
        <v>33078</v>
      </c>
      <c r="C29" s="8">
        <v>2760</v>
      </c>
      <c r="D29" s="8">
        <f>+'[1]Budget by Month'!O26</f>
        <v>24337</v>
      </c>
      <c r="E29" s="8">
        <f>+[1]Society!C6</f>
        <v>32000</v>
      </c>
      <c r="F29" s="8">
        <f>+[1]Society!D6</f>
        <v>32000</v>
      </c>
      <c r="G29" s="8">
        <f>+[1]Society!E6</f>
        <v>600</v>
      </c>
      <c r="H29" s="8">
        <f>+[1]Society!F6</f>
        <v>600</v>
      </c>
      <c r="I29" s="8">
        <f>+[1]Society!G6</f>
        <v>600</v>
      </c>
    </row>
    <row r="30" spans="1:9" x14ac:dyDescent="0.3">
      <c r="A30" s="7" t="s">
        <v>30</v>
      </c>
      <c r="B30" s="8">
        <v>389</v>
      </c>
      <c r="C30" s="8">
        <v>240</v>
      </c>
      <c r="D30" s="8">
        <f>+'[1]Budget by Month'!O27</f>
        <v>214</v>
      </c>
      <c r="E30" s="8">
        <v>240</v>
      </c>
      <c r="F30" s="8">
        <v>240</v>
      </c>
      <c r="G30" s="8">
        <v>240</v>
      </c>
      <c r="H30" s="8">
        <v>240</v>
      </c>
      <c r="I30" s="8">
        <v>240</v>
      </c>
    </row>
    <row r="31" spans="1:9" x14ac:dyDescent="0.3">
      <c r="A31" s="5" t="s">
        <v>31</v>
      </c>
      <c r="B31" s="11">
        <f t="shared" ref="B31:I31" si="3">SUM(B27:B30)</f>
        <v>87589</v>
      </c>
      <c r="C31" s="11">
        <f t="shared" si="3"/>
        <v>68000</v>
      </c>
      <c r="D31" s="11">
        <f t="shared" si="3"/>
        <v>7210234.1399999997</v>
      </c>
      <c r="E31" s="11">
        <f t="shared" si="3"/>
        <v>152240</v>
      </c>
      <c r="F31" s="11">
        <f t="shared" si="3"/>
        <v>152240</v>
      </c>
      <c r="G31" s="11">
        <f t="shared" si="3"/>
        <v>120840</v>
      </c>
      <c r="H31" s="11">
        <f t="shared" si="3"/>
        <v>120840</v>
      </c>
      <c r="I31" s="11">
        <f t="shared" si="3"/>
        <v>120840</v>
      </c>
    </row>
    <row r="33" spans="1:9" x14ac:dyDescent="0.3">
      <c r="A33" s="5" t="s">
        <v>32</v>
      </c>
      <c r="B33" s="10">
        <f t="shared" ref="B33:I33" si="4">+B24+B31</f>
        <v>3927914</v>
      </c>
      <c r="C33" s="10">
        <f t="shared" si="4"/>
        <v>4788458</v>
      </c>
      <c r="D33" s="10">
        <f t="shared" si="4"/>
        <v>11554179.806666667</v>
      </c>
      <c r="E33" s="10">
        <f t="shared" si="4"/>
        <v>4673631.2</v>
      </c>
      <c r="F33" s="10">
        <f t="shared" si="4"/>
        <v>4822271.9000000004</v>
      </c>
      <c r="G33" s="10">
        <f t="shared" si="4"/>
        <v>4916499.5</v>
      </c>
      <c r="H33" s="10">
        <f t="shared" si="4"/>
        <v>5054580.3</v>
      </c>
      <c r="I33" s="10">
        <f t="shared" si="4"/>
        <v>5185912.9000000004</v>
      </c>
    </row>
    <row r="35" spans="1:9" x14ac:dyDescent="0.3">
      <c r="A35" s="5" t="s">
        <v>33</v>
      </c>
    </row>
    <row r="37" spans="1:9" x14ac:dyDescent="0.3">
      <c r="A37" s="5" t="s">
        <v>34</v>
      </c>
    </row>
    <row r="38" spans="1:9" x14ac:dyDescent="0.3">
      <c r="A38" s="7" t="s">
        <v>35</v>
      </c>
      <c r="B38" s="8">
        <v>21423</v>
      </c>
      <c r="C38" s="8">
        <v>21000</v>
      </c>
      <c r="D38" s="8">
        <f>+'[1]Budget by Month'!O30</f>
        <v>21963</v>
      </c>
      <c r="E38" s="8">
        <f>+[1]Society!C11</f>
        <v>21000</v>
      </c>
      <c r="F38" s="8">
        <f>+[1]Society!D11</f>
        <v>21500</v>
      </c>
      <c r="G38" s="8">
        <f>+[1]Society!E11</f>
        <v>22000</v>
      </c>
      <c r="H38" s="8">
        <f>+[1]Society!F11</f>
        <v>23000</v>
      </c>
      <c r="I38" s="8">
        <f>+[1]Society!G11</f>
        <v>24000</v>
      </c>
    </row>
    <row r="39" spans="1:9" x14ac:dyDescent="0.3">
      <c r="A39" s="7" t="s">
        <v>36</v>
      </c>
      <c r="B39" s="8">
        <v>400</v>
      </c>
      <c r="C39" s="8">
        <v>0</v>
      </c>
      <c r="D39" s="8">
        <f>+'[1]Budget by Month'!O31</f>
        <v>0</v>
      </c>
      <c r="E39" s="8"/>
      <c r="F39" s="8"/>
      <c r="G39" s="8"/>
      <c r="H39" s="8"/>
      <c r="I39" s="8"/>
    </row>
    <row r="40" spans="1:9" x14ac:dyDescent="0.3">
      <c r="A40" s="7" t="s">
        <v>37</v>
      </c>
      <c r="B40" s="8">
        <v>410</v>
      </c>
      <c r="C40" s="8">
        <v>500</v>
      </c>
      <c r="D40" s="8">
        <f>+'[1]Budget by Month'!O32</f>
        <v>614</v>
      </c>
      <c r="E40" s="8">
        <f>+[1]Society!C12</f>
        <v>500</v>
      </c>
      <c r="F40" s="8">
        <f>+[1]Society!D12</f>
        <v>500</v>
      </c>
      <c r="G40" s="8">
        <f>+[1]Society!E12</f>
        <v>500</v>
      </c>
      <c r="H40" s="8">
        <f>+[1]Society!F12</f>
        <v>500</v>
      </c>
      <c r="I40" s="8">
        <f>+[1]Society!G12</f>
        <v>500</v>
      </c>
    </row>
    <row r="41" spans="1:9" x14ac:dyDescent="0.3">
      <c r="A41" s="7" t="s">
        <v>38</v>
      </c>
      <c r="B41" s="8">
        <v>4972</v>
      </c>
      <c r="C41" s="8">
        <v>0</v>
      </c>
      <c r="D41" s="8">
        <f>+'[1]Budget by Month'!O33</f>
        <v>0</v>
      </c>
      <c r="E41" s="8">
        <f>+[1]Society!C13</f>
        <v>0</v>
      </c>
      <c r="F41" s="8">
        <f>+[1]Society!D13</f>
        <v>0</v>
      </c>
      <c r="G41" s="8">
        <f>+[1]Society!E13</f>
        <v>0</v>
      </c>
      <c r="H41" s="8">
        <f>+[1]Society!F13</f>
        <v>0</v>
      </c>
      <c r="I41" s="8">
        <f>+[1]Society!G13</f>
        <v>0</v>
      </c>
    </row>
    <row r="42" spans="1:9" x14ac:dyDescent="0.3">
      <c r="A42" s="7" t="s">
        <v>39</v>
      </c>
      <c r="B42" s="8">
        <v>137</v>
      </c>
      <c r="C42" s="8">
        <v>2000</v>
      </c>
      <c r="D42" s="8">
        <f>+'[1]Budget by Month'!O36</f>
        <v>947</v>
      </c>
      <c r="E42" s="8">
        <f>+[1]Society!C15</f>
        <v>240</v>
      </c>
      <c r="F42" s="8">
        <f>+[1]Society!D15</f>
        <v>240</v>
      </c>
      <c r="G42" s="8">
        <f>+[1]Society!E15</f>
        <v>240</v>
      </c>
      <c r="H42" s="8">
        <f>+[1]Society!F15</f>
        <v>240</v>
      </c>
      <c r="I42" s="8">
        <f>+[1]Society!G15</f>
        <v>240</v>
      </c>
    </row>
    <row r="43" spans="1:9" x14ac:dyDescent="0.3">
      <c r="A43" s="12" t="s">
        <v>40</v>
      </c>
      <c r="B43" s="8">
        <v>686</v>
      </c>
      <c r="C43" s="8">
        <v>0</v>
      </c>
      <c r="D43" s="8">
        <f>+'[1]Budget by Month'!O35</f>
        <v>713</v>
      </c>
      <c r="E43" s="6">
        <v>750</v>
      </c>
      <c r="F43" s="6">
        <v>750</v>
      </c>
      <c r="G43" s="6">
        <v>750</v>
      </c>
      <c r="H43" s="6">
        <v>750</v>
      </c>
      <c r="I43" s="6">
        <v>750</v>
      </c>
    </row>
    <row r="44" spans="1:9" x14ac:dyDescent="0.3">
      <c r="A44" s="7" t="s">
        <v>41</v>
      </c>
      <c r="B44" s="8">
        <v>481</v>
      </c>
      <c r="C44" s="8">
        <v>250</v>
      </c>
      <c r="D44" s="8">
        <f>+'[1]Budget by Month'!O34</f>
        <v>75</v>
      </c>
      <c r="E44" s="8">
        <f>+[1]Society!C14</f>
        <v>250</v>
      </c>
      <c r="F44" s="8">
        <f>+[1]Society!D14</f>
        <v>250</v>
      </c>
      <c r="G44" s="8">
        <f>+[1]Society!E14</f>
        <v>250</v>
      </c>
      <c r="H44" s="8">
        <f>+[1]Society!F14</f>
        <v>250</v>
      </c>
      <c r="I44" s="8">
        <f>+[1]Society!G14</f>
        <v>250</v>
      </c>
    </row>
    <row r="45" spans="1:9" x14ac:dyDescent="0.3">
      <c r="A45" s="7" t="s">
        <v>42</v>
      </c>
      <c r="B45" s="8">
        <v>1133</v>
      </c>
      <c r="C45" s="8">
        <v>1200</v>
      </c>
      <c r="D45" s="8">
        <f>+'[1]Budget by Month'!O37</f>
        <v>655</v>
      </c>
      <c r="E45" s="8">
        <v>500</v>
      </c>
      <c r="F45" s="8">
        <v>500</v>
      </c>
      <c r="G45" s="8">
        <v>500</v>
      </c>
      <c r="H45" s="8">
        <v>500</v>
      </c>
      <c r="I45" s="8">
        <v>500</v>
      </c>
    </row>
    <row r="46" spans="1:9" x14ac:dyDescent="0.3">
      <c r="A46" s="7" t="s">
        <v>43</v>
      </c>
      <c r="B46" s="8">
        <v>25215</v>
      </c>
      <c r="C46" s="8">
        <v>25000</v>
      </c>
      <c r="D46" s="8">
        <f>+'[1]Budget by Month'!O38</f>
        <v>1603</v>
      </c>
      <c r="E46" s="8">
        <v>2500</v>
      </c>
      <c r="F46" s="8">
        <v>2500</v>
      </c>
      <c r="G46" s="8">
        <f>+[1]Society!E17</f>
        <v>2500</v>
      </c>
      <c r="H46" s="8">
        <f>+[1]Society!F17</f>
        <v>2500</v>
      </c>
      <c r="I46" s="8">
        <f>+[1]Society!G17</f>
        <v>2500</v>
      </c>
    </row>
    <row r="47" spans="1:9" x14ac:dyDescent="0.3">
      <c r="A47" s="5" t="s">
        <v>44</v>
      </c>
      <c r="B47" s="11">
        <f t="shared" ref="B47:I47" si="5">SUM(B38:B46)</f>
        <v>54857</v>
      </c>
      <c r="C47" s="11">
        <f t="shared" si="5"/>
        <v>49950</v>
      </c>
      <c r="D47" s="11">
        <f t="shared" si="5"/>
        <v>26570</v>
      </c>
      <c r="E47" s="11">
        <f t="shared" si="5"/>
        <v>25740</v>
      </c>
      <c r="F47" s="11">
        <f t="shared" si="5"/>
        <v>26240</v>
      </c>
      <c r="G47" s="11">
        <f t="shared" si="5"/>
        <v>26740</v>
      </c>
      <c r="H47" s="11">
        <f t="shared" si="5"/>
        <v>27740</v>
      </c>
      <c r="I47" s="11">
        <f t="shared" si="5"/>
        <v>28740</v>
      </c>
    </row>
    <row r="49" spans="1:9" x14ac:dyDescent="0.3">
      <c r="A49" s="5" t="s">
        <v>45</v>
      </c>
    </row>
    <row r="50" spans="1:9" x14ac:dyDescent="0.3">
      <c r="A50" s="7" t="s">
        <v>46</v>
      </c>
      <c r="B50" s="8">
        <v>366791</v>
      </c>
      <c r="C50" s="8">
        <v>325250</v>
      </c>
      <c r="D50" s="8">
        <f>+'[1]Budget by Month'!O40</f>
        <v>227068.55555555553</v>
      </c>
      <c r="E50" s="8">
        <f>+[1]Staffing!J9</f>
        <v>209175</v>
      </c>
      <c r="F50" s="8">
        <f>+[1]Staffing!N9</f>
        <v>213358.49999999997</v>
      </c>
      <c r="G50" s="8">
        <f>+[1]Staffing!R9</f>
        <v>217625.66999999998</v>
      </c>
      <c r="H50" s="8">
        <f>+[1]Staffing!V9</f>
        <v>237896.3034</v>
      </c>
      <c r="I50" s="8">
        <f>+[1]Staffing!Z9</f>
        <v>242654.22946799998</v>
      </c>
    </row>
    <row r="51" spans="1:9" x14ac:dyDescent="0.3">
      <c r="A51" s="7" t="s">
        <v>47</v>
      </c>
      <c r="B51" s="8">
        <v>324704</v>
      </c>
      <c r="C51" s="8">
        <v>387618</v>
      </c>
      <c r="D51" s="8">
        <f>+'[1]Budget by Month'!O41</f>
        <v>332261.60995868058</v>
      </c>
      <c r="E51" s="8">
        <f>+[1]Staffing!J21</f>
        <v>277674.209840625</v>
      </c>
      <c r="F51" s="8">
        <f>+[1]Staffing!N21</f>
        <v>308090.1940374375</v>
      </c>
      <c r="G51" s="8">
        <f>+[1]Staffing!R21</f>
        <v>339611.74791818624</v>
      </c>
      <c r="H51" s="8">
        <f>+[1]Staffing!V21</f>
        <v>346403.98287655</v>
      </c>
      <c r="I51" s="8">
        <f>+[1]Staffing!Z21</f>
        <v>353332.06253408099</v>
      </c>
    </row>
    <row r="52" spans="1:9" x14ac:dyDescent="0.3">
      <c r="A52" s="7" t="s">
        <v>48</v>
      </c>
      <c r="B52" s="8">
        <v>318814</v>
      </c>
      <c r="C52" s="8">
        <v>275408</v>
      </c>
      <c r="D52" s="8">
        <f>+'[1]Budget by Month'!O42</f>
        <v>380291</v>
      </c>
      <c r="E52" s="8">
        <f>+[1]Staffing!J27</f>
        <v>351126.65249999997</v>
      </c>
      <c r="F52" s="8">
        <f>+[1]Staffing!N27</f>
        <v>358149.18554999994</v>
      </c>
      <c r="G52" s="8">
        <f>+[1]Staffing!R27</f>
        <v>365312.169261</v>
      </c>
      <c r="H52" s="8">
        <f>+[1]Staffing!V27</f>
        <v>372618.41264622001</v>
      </c>
      <c r="I52" s="8">
        <f>+[1]Staffing!Z27</f>
        <v>380070.78089914448</v>
      </c>
    </row>
    <row r="53" spans="1:9" x14ac:dyDescent="0.3">
      <c r="A53" s="7" t="s">
        <v>49</v>
      </c>
      <c r="B53" s="8">
        <v>113865</v>
      </c>
      <c r="C53" s="8">
        <v>114284</v>
      </c>
      <c r="D53" s="8">
        <f>+'[1]Budget by Month'!O43</f>
        <v>117168.61187499999</v>
      </c>
      <c r="E53" s="8">
        <f>+[1]Staffing!J38</f>
        <v>116569.074375</v>
      </c>
      <c r="F53" s="8">
        <f>+[1]Staffing!N38</f>
        <v>118900.45586250001</v>
      </c>
      <c r="G53" s="8">
        <f>+[1]Staffing!R38</f>
        <v>121278.46497975</v>
      </c>
      <c r="H53" s="8">
        <f>+[1]Staffing!V38</f>
        <v>123704.03427934501</v>
      </c>
      <c r="I53" s="8">
        <f>+[1]Staffing!Z38</f>
        <v>126178.11496493191</v>
      </c>
    </row>
    <row r="54" spans="1:9" x14ac:dyDescent="0.3">
      <c r="A54" s="7" t="s">
        <v>50</v>
      </c>
      <c r="B54" s="8">
        <v>209715</v>
      </c>
      <c r="C54" s="8">
        <v>213001</v>
      </c>
      <c r="D54" s="8">
        <f>+'[1]Budget by Month'!O44</f>
        <v>300466.14662500005</v>
      </c>
      <c r="E54" s="8">
        <f>+[1]Staffing!J32-E56</f>
        <v>245958.99412500003</v>
      </c>
      <c r="F54" s="8">
        <f>+[1]Staffing!N32-F56</f>
        <v>250878.17400749997</v>
      </c>
      <c r="G54" s="8">
        <f>+[1]Staffing!R32-G56</f>
        <v>255895.73748764995</v>
      </c>
      <c r="H54" s="8">
        <f>+[1]Staffing!V32-H56</f>
        <v>261013.65223740306</v>
      </c>
      <c r="I54" s="8">
        <f>+[1]Staffing!Z32-I56</f>
        <v>266233.92528215103</v>
      </c>
    </row>
    <row r="55" spans="1:9" x14ac:dyDescent="0.3">
      <c r="A55" s="7" t="s">
        <v>51</v>
      </c>
      <c r="B55" s="8">
        <v>200976</v>
      </c>
      <c r="C55" s="8">
        <v>213536</v>
      </c>
      <c r="D55" s="8">
        <f>+'[1]Budget by Month'!O45</f>
        <v>260742</v>
      </c>
      <c r="E55" s="8">
        <f>+[1]Staffing!J43</f>
        <v>180409.95</v>
      </c>
      <c r="F55" s="8">
        <f>+[1]Staffing!N43</f>
        <v>184018.14899999998</v>
      </c>
      <c r="G55" s="8">
        <f>+[1]Staffing!R43</f>
        <v>187698.51198000001</v>
      </c>
      <c r="H55" s="8">
        <f>+[1]Staffing!V43</f>
        <v>191452.4822196</v>
      </c>
      <c r="I55" s="8">
        <f>+[1]Staffing!Z43</f>
        <v>195281.53186399202</v>
      </c>
    </row>
    <row r="56" spans="1:9" x14ac:dyDescent="0.3">
      <c r="A56" s="7" t="s">
        <v>52</v>
      </c>
      <c r="B56" s="8">
        <v>22309</v>
      </c>
      <c r="C56" s="8">
        <v>12004</v>
      </c>
      <c r="D56" s="8">
        <f>+'[1]Budget by Month'!O46</f>
        <v>32002</v>
      </c>
      <c r="E56" s="8">
        <f>+[1]Staffing!J31</f>
        <v>19386.783000000003</v>
      </c>
      <c r="F56" s="8">
        <f>+[1]Staffing!N31</f>
        <v>19514.327624999998</v>
      </c>
      <c r="G56" s="8">
        <f>+[1]Staffing!R31</f>
        <v>19904.6141775</v>
      </c>
      <c r="H56" s="8">
        <f>+[1]Staffing!V31</f>
        <v>20302.706461050002</v>
      </c>
      <c r="I56" s="8">
        <f>+[1]Staffing!Z31</f>
        <v>20708.760590270998</v>
      </c>
    </row>
    <row r="57" spans="1:9" x14ac:dyDescent="0.3">
      <c r="A57" s="7" t="s">
        <v>53</v>
      </c>
      <c r="B57" s="8">
        <v>0</v>
      </c>
      <c r="C57" s="8">
        <v>0</v>
      </c>
      <c r="D57" s="8">
        <f>+'[1]Budget by Month'!O47</f>
        <v>-120152</v>
      </c>
      <c r="E57" s="8">
        <v>7500</v>
      </c>
      <c r="F57" s="8">
        <v>7500</v>
      </c>
      <c r="G57" s="8">
        <v>15000</v>
      </c>
      <c r="H57" s="8">
        <v>7500</v>
      </c>
      <c r="I57" s="8">
        <v>7500</v>
      </c>
    </row>
    <row r="58" spans="1:9" x14ac:dyDescent="0.3">
      <c r="A58" s="7" t="s">
        <v>54</v>
      </c>
      <c r="B58" s="8">
        <f>+'[1]Budget by Month'!M48</f>
        <v>0</v>
      </c>
      <c r="C58" s="8">
        <f>+'[1]Budget by Month'!N48</f>
        <v>0</v>
      </c>
      <c r="D58" s="8">
        <f>+'[1]Budget by Month'!O48</f>
        <v>-52800</v>
      </c>
      <c r="E58" s="8"/>
      <c r="F58" s="8"/>
      <c r="G58" s="8"/>
      <c r="H58" s="8"/>
      <c r="I58" s="8"/>
    </row>
    <row r="59" spans="1:9" x14ac:dyDescent="0.3">
      <c r="A59" s="7" t="s">
        <v>55</v>
      </c>
      <c r="B59" s="13">
        <f>SUM(B50:B58)</f>
        <v>1557174</v>
      </c>
      <c r="C59" s="13">
        <f>SUM(C50:C58)</f>
        <v>1541101</v>
      </c>
      <c r="D59" s="13">
        <f>SUM(D50:D58)</f>
        <v>1477047.9240142361</v>
      </c>
      <c r="E59" s="13">
        <f t="shared" ref="E59:I59" si="6">SUM(E50:E58)</f>
        <v>1407800.663840625</v>
      </c>
      <c r="F59" s="13">
        <f t="shared" si="6"/>
        <v>1460408.9860824372</v>
      </c>
      <c r="G59" s="13">
        <f t="shared" si="6"/>
        <v>1522326.915804086</v>
      </c>
      <c r="H59" s="13">
        <f t="shared" si="6"/>
        <v>1560891.5741201681</v>
      </c>
      <c r="I59" s="13">
        <f t="shared" si="6"/>
        <v>1591959.4056025716</v>
      </c>
    </row>
    <row r="60" spans="1:9" x14ac:dyDescent="0.3">
      <c r="A60" s="7" t="s">
        <v>56</v>
      </c>
      <c r="B60" s="8">
        <v>29161</v>
      </c>
      <c r="C60" s="8">
        <v>30822</v>
      </c>
      <c r="D60" s="8">
        <f>+'[1]Budget by Month'!O50</f>
        <v>33859</v>
      </c>
      <c r="E60" s="8">
        <f>+[1]Staffing!J46</f>
        <v>29204.687628565316</v>
      </c>
      <c r="F60" s="8">
        <f>+[1]Staffing!N46</f>
        <v>32690.45218685484</v>
      </c>
      <c r="G60" s="8">
        <f>+[1]Staffing!R46</f>
        <v>34668.519063493986</v>
      </c>
      <c r="H60" s="8">
        <f>+[1]Staffing!V46</f>
        <v>35728.006204763864</v>
      </c>
      <c r="I60" s="8">
        <f>+[1]Staffing!Z46</f>
        <v>36442.566328859139</v>
      </c>
    </row>
    <row r="61" spans="1:9" x14ac:dyDescent="0.3">
      <c r="A61" s="7" t="s">
        <v>57</v>
      </c>
      <c r="B61" s="8">
        <v>61817</v>
      </c>
      <c r="C61" s="8">
        <v>72432</v>
      </c>
      <c r="D61" s="8">
        <f>+'[1]Budget by Month'!O51</f>
        <v>76375</v>
      </c>
      <c r="E61" s="8">
        <f>+[1]Staffing!J47</f>
        <v>75283.267458290633</v>
      </c>
      <c r="F61" s="8">
        <f>+[1]Staffing!N47</f>
        <v>86448.084671905031</v>
      </c>
      <c r="G61" s="8">
        <f>+[1]Staffing!R47</f>
        <v>89685.951490343126</v>
      </c>
      <c r="H61" s="8">
        <f>+[1]Staffing!V47</f>
        <v>92426.798660150002</v>
      </c>
      <c r="I61" s="8">
        <f>+[1]Staffing!Z47</f>
        <v>94275.334633352992</v>
      </c>
    </row>
    <row r="62" spans="1:9" x14ac:dyDescent="0.3">
      <c r="A62" s="7" t="s">
        <v>58</v>
      </c>
      <c r="B62" s="8">
        <f>+'[1]Budget by Month'!M52</f>
        <v>0</v>
      </c>
      <c r="C62" s="8">
        <f>+'[1]Budget by Month'!N52</f>
        <v>0</v>
      </c>
      <c r="D62" s="8">
        <f>+'[1]Budget by Month'!O52</f>
        <v>-4044</v>
      </c>
      <c r="E62" s="8"/>
      <c r="F62" s="8"/>
      <c r="G62" s="8"/>
      <c r="H62" s="8"/>
      <c r="I62" s="8"/>
    </row>
    <row r="63" spans="1:9" x14ac:dyDescent="0.3">
      <c r="A63" s="7" t="s">
        <v>59</v>
      </c>
      <c r="B63" s="8">
        <v>9551</v>
      </c>
      <c r="C63" s="8">
        <v>23117</v>
      </c>
      <c r="D63" s="8">
        <f>+'[1]Budget by Month'!O53</f>
        <v>27603.221875283056</v>
      </c>
      <c r="E63" s="8">
        <f>+[1]Staffing!J48</f>
        <v>21284.5700903775</v>
      </c>
      <c r="F63" s="8">
        <f>+[1]Staffing!N48</f>
        <v>22084.216588453048</v>
      </c>
      <c r="G63" s="8">
        <f>+[1]Staffing!R48</f>
        <v>22911.369120222113</v>
      </c>
      <c r="H63" s="8">
        <f>+[1]Staffing!V48</f>
        <v>23611.551926626555</v>
      </c>
      <c r="I63" s="8">
        <f>+[1]Staffing!Z48</f>
        <v>24083.782965159084</v>
      </c>
    </row>
    <row r="64" spans="1:9" x14ac:dyDescent="0.3">
      <c r="A64" s="7" t="s">
        <v>60</v>
      </c>
      <c r="B64" s="8">
        <v>56784</v>
      </c>
      <c r="C64" s="8">
        <v>69349</v>
      </c>
      <c r="D64" s="8">
        <f>+'[1]Budget by Month'!O54</f>
        <v>57410.431949664933</v>
      </c>
      <c r="E64" s="8">
        <f>+[1]Staffing!J49</f>
        <v>49010.523234421882</v>
      </c>
      <c r="F64" s="8">
        <f>+[1]Staffing!N49</f>
        <v>50851.814512885314</v>
      </c>
      <c r="G64" s="8">
        <f>+[1]Staffing!R49</f>
        <v>52756.442053143022</v>
      </c>
      <c r="H64" s="8">
        <f>+[1]Staffing!V49</f>
        <v>54368.705094205892</v>
      </c>
      <c r="I64" s="8">
        <f>+[1]Staffing!Z49</f>
        <v>55456.079196090002</v>
      </c>
    </row>
    <row r="65" spans="1:10" x14ac:dyDescent="0.3">
      <c r="A65" s="7" t="s">
        <v>61</v>
      </c>
      <c r="B65" s="10">
        <v>37632</v>
      </c>
      <c r="C65" s="10">
        <v>46233</v>
      </c>
      <c r="D65" s="10">
        <f>+'[1]Budget by Month'!O55</f>
        <v>42101</v>
      </c>
      <c r="E65" s="10">
        <f>+[1]Staffing!J50</f>
        <v>42009.019915218749</v>
      </c>
      <c r="F65" s="10">
        <f>+[1]Staffing!N50</f>
        <v>43587.26958247312</v>
      </c>
      <c r="G65" s="10">
        <f>+[1]Staffing!R50</f>
        <v>45219.807474122586</v>
      </c>
      <c r="H65" s="10">
        <f>+[1]Staffing!V50</f>
        <v>46601.747223605038</v>
      </c>
      <c r="I65" s="10">
        <f>+[1]Staffing!Z50</f>
        <v>47533.782168077138</v>
      </c>
    </row>
    <row r="66" spans="1:10" x14ac:dyDescent="0.3">
      <c r="A66" s="7" t="s">
        <v>62</v>
      </c>
      <c r="B66" s="8">
        <f t="shared" ref="B66:I66" si="7">SUM(B60:B65)</f>
        <v>194945</v>
      </c>
      <c r="C66" s="8">
        <f t="shared" si="7"/>
        <v>241953</v>
      </c>
      <c r="D66" s="8">
        <f t="shared" si="7"/>
        <v>233304.65382494798</v>
      </c>
      <c r="E66" s="8">
        <f t="shared" si="7"/>
        <v>216792.06832687408</v>
      </c>
      <c r="F66" s="8">
        <f t="shared" si="7"/>
        <v>235661.83754257136</v>
      </c>
      <c r="G66" s="8">
        <f t="shared" si="7"/>
        <v>245242.08920132482</v>
      </c>
      <c r="H66" s="8">
        <f t="shared" si="7"/>
        <v>252736.80910935136</v>
      </c>
      <c r="I66" s="8">
        <f t="shared" si="7"/>
        <v>257791.54529153832</v>
      </c>
    </row>
    <row r="67" spans="1:10" x14ac:dyDescent="0.3">
      <c r="A67" s="7" t="s">
        <v>63</v>
      </c>
      <c r="B67" s="14">
        <v>1875</v>
      </c>
      <c r="C67" s="14">
        <v>3000</v>
      </c>
      <c r="D67" s="14">
        <f>+'[1]Budget by Month'!O57</f>
        <v>1045</v>
      </c>
      <c r="E67" s="14">
        <f>+[1]Staffing!J51</f>
        <v>3000</v>
      </c>
      <c r="F67" s="14">
        <f>+[1]Staffing!N51</f>
        <v>3200</v>
      </c>
      <c r="G67" s="14">
        <f>+[1]Staffing!R51</f>
        <v>3400</v>
      </c>
      <c r="H67" s="14">
        <f>+[1]Staffing!V51</f>
        <v>3400</v>
      </c>
      <c r="I67" s="14">
        <f>+[1]Staffing!Z51</f>
        <v>3400</v>
      </c>
    </row>
    <row r="68" spans="1:10" x14ac:dyDescent="0.3">
      <c r="A68" s="7" t="s">
        <v>64</v>
      </c>
      <c r="B68" s="14">
        <v>6</v>
      </c>
      <c r="C68" s="14">
        <v>250</v>
      </c>
      <c r="D68" s="14">
        <f>+'[1]Budget by Month'!O58</f>
        <v>0</v>
      </c>
      <c r="E68" s="14">
        <f>+[1]Staffing!J52</f>
        <v>250</v>
      </c>
      <c r="F68" s="14">
        <f>+[1]Staffing!N52</f>
        <v>250</v>
      </c>
      <c r="G68" s="14">
        <f>+[1]Staffing!R52</f>
        <v>250</v>
      </c>
      <c r="H68" s="14">
        <f>+[1]Staffing!V52</f>
        <v>250</v>
      </c>
      <c r="I68" s="14">
        <f>+[1]Staffing!Z52</f>
        <v>250</v>
      </c>
    </row>
    <row r="69" spans="1:10" x14ac:dyDescent="0.3">
      <c r="A69" s="5" t="s">
        <v>65</v>
      </c>
      <c r="B69" s="11">
        <f t="shared" ref="B69:C69" si="8">SUM(B66:B68)+B59</f>
        <v>1754000</v>
      </c>
      <c r="C69" s="11">
        <f t="shared" si="8"/>
        <v>1786304</v>
      </c>
      <c r="D69" s="11">
        <f t="shared" ref="D69:G69" si="9">SUM(D66:D68)+D59</f>
        <v>1711397.5778391841</v>
      </c>
      <c r="E69" s="11">
        <f t="shared" si="9"/>
        <v>1627842.7321674991</v>
      </c>
      <c r="F69" s="11">
        <f t="shared" si="9"/>
        <v>1699520.8236250086</v>
      </c>
      <c r="G69" s="11">
        <f t="shared" si="9"/>
        <v>1771219.0050054109</v>
      </c>
      <c r="H69" s="11">
        <f t="shared" ref="H69:I69" si="10">SUM(H66:H68)+H59</f>
        <v>1817278.3832295195</v>
      </c>
      <c r="I69" s="11">
        <f t="shared" si="10"/>
        <v>1853400.9508941099</v>
      </c>
    </row>
    <row r="71" spans="1:10" x14ac:dyDescent="0.3">
      <c r="A71" s="5" t="s">
        <v>66</v>
      </c>
    </row>
    <row r="72" spans="1:10" x14ac:dyDescent="0.3">
      <c r="A72" s="7" t="s">
        <v>67</v>
      </c>
      <c r="B72" s="8">
        <v>3225</v>
      </c>
      <c r="C72" s="8">
        <v>3600</v>
      </c>
      <c r="D72" s="8">
        <f>+'[1]Budget by Month'!O60</f>
        <v>2168</v>
      </c>
      <c r="E72" s="8">
        <f>+[1]Operations!C2</f>
        <v>3600</v>
      </c>
      <c r="F72" s="8">
        <f>+[1]Operations!D2</f>
        <v>3900</v>
      </c>
      <c r="G72" s="8">
        <f>+[1]Operations!E2</f>
        <v>4000</v>
      </c>
      <c r="H72" s="8">
        <f>+[1]Operations!F2</f>
        <v>4000</v>
      </c>
      <c r="I72" s="8">
        <f>+[1]Operations!G2</f>
        <v>4000</v>
      </c>
      <c r="J72" s="8"/>
    </row>
    <row r="73" spans="1:10" x14ac:dyDescent="0.3">
      <c r="A73" s="7" t="s">
        <v>68</v>
      </c>
      <c r="B73" s="8">
        <v>5974</v>
      </c>
      <c r="C73" s="8">
        <v>10000</v>
      </c>
      <c r="D73" s="8">
        <f>+'[1]Budget by Month'!O61</f>
        <v>12306</v>
      </c>
      <c r="E73" s="8">
        <f>+[1]Operations!C3</f>
        <v>3600</v>
      </c>
      <c r="F73" s="8">
        <f>+[1]Operations!D3</f>
        <v>3900</v>
      </c>
      <c r="G73" s="8">
        <f>+[1]Operations!E3</f>
        <v>4200</v>
      </c>
      <c r="H73" s="8">
        <f>+[1]Operations!F3</f>
        <v>4500</v>
      </c>
      <c r="I73" s="8">
        <f>+[1]Operations!G3</f>
        <v>5000</v>
      </c>
      <c r="J73" s="8"/>
    </row>
    <row r="74" spans="1:10" x14ac:dyDescent="0.3">
      <c r="A74" s="7" t="s">
        <v>69</v>
      </c>
      <c r="B74" s="8">
        <v>64</v>
      </c>
      <c r="C74" s="8">
        <v>0</v>
      </c>
      <c r="D74" s="8">
        <f>+'[1]Budget by Month'!O62</f>
        <v>0</v>
      </c>
      <c r="E74" s="8"/>
      <c r="F74" s="8"/>
      <c r="G74" s="8"/>
      <c r="H74" s="8"/>
      <c r="I74" s="8"/>
      <c r="J74" s="8"/>
    </row>
    <row r="75" spans="1:10" x14ac:dyDescent="0.3">
      <c r="A75" s="7" t="s">
        <v>70</v>
      </c>
      <c r="B75" s="8">
        <v>3940</v>
      </c>
      <c r="C75" s="8">
        <v>500</v>
      </c>
      <c r="D75" s="8">
        <f>+'[1]Budget by Month'!O63</f>
        <v>423.66666666666674</v>
      </c>
      <c r="E75" s="8">
        <f>+[1]Operations!C4</f>
        <v>500</v>
      </c>
      <c r="F75" s="8">
        <f>+[1]Operations!D4</f>
        <v>500</v>
      </c>
      <c r="G75" s="8">
        <f>+[1]Operations!E4</f>
        <v>500</v>
      </c>
      <c r="H75" s="8">
        <f>+[1]Operations!F4</f>
        <v>500</v>
      </c>
      <c r="I75" s="8">
        <f>+[1]Operations!G4</f>
        <v>500</v>
      </c>
      <c r="J75" s="8"/>
    </row>
    <row r="76" spans="1:10" x14ac:dyDescent="0.3">
      <c r="A76" s="7" t="s">
        <v>71</v>
      </c>
      <c r="B76" s="8">
        <v>2392</v>
      </c>
      <c r="C76" s="8">
        <v>1800</v>
      </c>
      <c r="D76" s="8">
        <f>+'[1]Budget by Month'!O64</f>
        <v>2975.9999999999995</v>
      </c>
      <c r="E76" s="8">
        <f>+[1]Operations!C5</f>
        <v>2000</v>
      </c>
      <c r="F76" s="8">
        <f>+[1]Operations!D5</f>
        <v>1800</v>
      </c>
      <c r="G76" s="8">
        <f>+[1]Operations!E5</f>
        <v>1700</v>
      </c>
      <c r="H76" s="8">
        <f>+[1]Operations!F5</f>
        <v>1600</v>
      </c>
      <c r="I76" s="8">
        <f>+[1]Operations!G5</f>
        <v>1500</v>
      </c>
      <c r="J76" s="8"/>
    </row>
    <row r="77" spans="1:10" x14ac:dyDescent="0.3">
      <c r="A77" s="7" t="s">
        <v>72</v>
      </c>
      <c r="B77" s="8">
        <v>0</v>
      </c>
      <c r="C77" s="8">
        <v>0</v>
      </c>
      <c r="D77" s="8">
        <f>+'[1]Budget by Month'!O65</f>
        <v>0</v>
      </c>
      <c r="E77" s="8"/>
      <c r="F77" s="8"/>
      <c r="G77" s="8"/>
      <c r="H77" s="8"/>
      <c r="I77" s="8"/>
      <c r="J77" s="8"/>
    </row>
    <row r="78" spans="1:10" x14ac:dyDescent="0.3">
      <c r="A78" s="7" t="s">
        <v>73</v>
      </c>
      <c r="B78" s="8">
        <v>362</v>
      </c>
      <c r="C78" s="8">
        <v>300</v>
      </c>
      <c r="D78" s="8">
        <f>+'[1]Budget by Month'!O66</f>
        <v>214.99999999999997</v>
      </c>
      <c r="E78" s="8">
        <f>+[1]Operations!C6</f>
        <v>500</v>
      </c>
      <c r="F78" s="8">
        <f>+[1]Operations!D6</f>
        <v>500</v>
      </c>
      <c r="G78" s="8">
        <f>+[1]Operations!E6</f>
        <v>500</v>
      </c>
      <c r="H78" s="8">
        <f>+[1]Operations!F6</f>
        <v>500</v>
      </c>
      <c r="I78" s="8">
        <f>+[1]Operations!G6</f>
        <v>500</v>
      </c>
      <c r="J78" s="8"/>
    </row>
    <row r="79" spans="1:10" x14ac:dyDescent="0.3">
      <c r="A79" s="7" t="s">
        <v>74</v>
      </c>
      <c r="B79" s="8">
        <f>22658+1414+123</f>
        <v>24195</v>
      </c>
      <c r="C79" s="8">
        <v>24000</v>
      </c>
      <c r="D79" s="8">
        <f>+'[1]Budget by Month'!O67</f>
        <v>23591.999999999996</v>
      </c>
      <c r="E79" s="8">
        <f>+[1]Operations!C7</f>
        <v>25000</v>
      </c>
      <c r="F79" s="8">
        <f>+[1]Operations!D7</f>
        <v>25000</v>
      </c>
      <c r="G79" s="8">
        <f>+[1]Operations!E7</f>
        <v>26000</v>
      </c>
      <c r="H79" s="8">
        <f>+[1]Operations!F7</f>
        <v>26000</v>
      </c>
      <c r="I79" s="8">
        <f>+[1]Operations!G7</f>
        <v>27000</v>
      </c>
      <c r="J79" s="8"/>
    </row>
    <row r="80" spans="1:10" x14ac:dyDescent="0.3">
      <c r="A80" s="7" t="s">
        <v>75</v>
      </c>
      <c r="B80" s="8">
        <v>7142</v>
      </c>
      <c r="C80" s="8">
        <v>10000</v>
      </c>
      <c r="D80" s="8">
        <f>+'[1]Budget by Month'!O68</f>
        <v>7161</v>
      </c>
      <c r="E80" s="8">
        <f>+[1]Operations!C8</f>
        <v>4000</v>
      </c>
      <c r="F80" s="8">
        <f>+[1]Operations!D8</f>
        <v>5000</v>
      </c>
      <c r="G80" s="8">
        <f>+[1]Operations!E8</f>
        <v>5000</v>
      </c>
      <c r="H80" s="8">
        <f>+[1]Operations!F8</f>
        <v>5000</v>
      </c>
      <c r="I80" s="8">
        <f>+[1]Operations!G8</f>
        <v>5000</v>
      </c>
      <c r="J80" s="8"/>
    </row>
    <row r="81" spans="1:10" x14ac:dyDescent="0.3">
      <c r="A81" s="7" t="s">
        <v>76</v>
      </c>
      <c r="B81" s="8">
        <v>4331</v>
      </c>
      <c r="C81" s="8">
        <v>4500</v>
      </c>
      <c r="D81" s="8">
        <f>+'[1]Budget by Month'!O69</f>
        <v>4606</v>
      </c>
      <c r="E81" s="8">
        <f>+[1]Operations!C10</f>
        <v>4500</v>
      </c>
      <c r="F81" s="8">
        <f>+[1]Operations!D10</f>
        <v>4500</v>
      </c>
      <c r="G81" s="8">
        <f>+[1]Operations!E10</f>
        <v>4500</v>
      </c>
      <c r="H81" s="8">
        <f>+[1]Operations!F10</f>
        <v>4500</v>
      </c>
      <c r="I81" s="8">
        <f>+[1]Operations!G10</f>
        <v>4500</v>
      </c>
      <c r="J81" s="8"/>
    </row>
    <row r="82" spans="1:10" x14ac:dyDescent="0.3">
      <c r="A82" s="7" t="s">
        <v>77</v>
      </c>
      <c r="B82" s="8">
        <v>0</v>
      </c>
      <c r="C82" s="8">
        <v>0</v>
      </c>
      <c r="D82" s="8">
        <f>+'[1]Budget by Month'!O70</f>
        <v>8210</v>
      </c>
      <c r="E82" s="8">
        <v>12500</v>
      </c>
      <c r="F82" s="8">
        <v>12500</v>
      </c>
      <c r="G82" s="8">
        <v>12500</v>
      </c>
      <c r="H82" s="8">
        <v>12500</v>
      </c>
      <c r="I82" s="8">
        <v>12500</v>
      </c>
      <c r="J82" s="8"/>
    </row>
    <row r="83" spans="1:10" x14ac:dyDescent="0.3">
      <c r="A83" s="7" t="s">
        <v>78</v>
      </c>
      <c r="B83" s="8">
        <v>11321</v>
      </c>
      <c r="C83" s="8">
        <v>10000</v>
      </c>
      <c r="D83" s="8">
        <f>+'[1]Budget by Month'!O71</f>
        <v>5521</v>
      </c>
      <c r="E83" s="8">
        <f>+[1]Operations!C12</f>
        <v>7200</v>
      </c>
      <c r="F83" s="8">
        <f>+[1]Operations!D12</f>
        <v>7200</v>
      </c>
      <c r="G83" s="8">
        <f>+[1]Operations!E12</f>
        <v>7200</v>
      </c>
      <c r="H83" s="8">
        <f>+[1]Operations!F12</f>
        <v>7200</v>
      </c>
      <c r="I83" s="8">
        <f>+[1]Operations!G12</f>
        <v>7200</v>
      </c>
      <c r="J83" s="8"/>
    </row>
    <row r="84" spans="1:10" x14ac:dyDescent="0.3">
      <c r="A84" s="7" t="s">
        <v>79</v>
      </c>
      <c r="B84" s="8">
        <v>1498</v>
      </c>
      <c r="C84" s="8">
        <v>250</v>
      </c>
      <c r="D84" s="8">
        <f>+'[1]Budget by Month'!O72</f>
        <v>1774</v>
      </c>
      <c r="E84" s="8">
        <f>+[1]Operations!C13</f>
        <v>1500</v>
      </c>
      <c r="F84" s="8">
        <f>+[1]Operations!D13</f>
        <v>1500</v>
      </c>
      <c r="G84" s="8">
        <f>+[1]Operations!E13</f>
        <v>1500</v>
      </c>
      <c r="H84" s="8">
        <f>+[1]Operations!F13</f>
        <v>1500</v>
      </c>
      <c r="I84" s="8">
        <f>+[1]Operations!G13</f>
        <v>1500</v>
      </c>
      <c r="J84" s="8"/>
    </row>
    <row r="85" spans="1:10" x14ac:dyDescent="0.3">
      <c r="A85" s="7" t="s">
        <v>80</v>
      </c>
      <c r="B85" s="8">
        <v>0</v>
      </c>
      <c r="C85" s="8">
        <v>0</v>
      </c>
      <c r="D85" s="8">
        <v>0</v>
      </c>
      <c r="E85" s="8">
        <f>+[1]Operations!C14</f>
        <v>0</v>
      </c>
      <c r="F85" s="8">
        <f>+[1]Operations!D14</f>
        <v>0</v>
      </c>
      <c r="G85" s="8">
        <f>+[1]Operations!E14</f>
        <v>0</v>
      </c>
      <c r="H85" s="8">
        <f>+[1]Operations!F14</f>
        <v>0</v>
      </c>
      <c r="I85" s="8">
        <f>+[1]Operations!G14</f>
        <v>0</v>
      </c>
      <c r="J85" s="8"/>
    </row>
    <row r="86" spans="1:10" x14ac:dyDescent="0.3">
      <c r="A86" s="7" t="s">
        <v>81</v>
      </c>
      <c r="B86" s="8">
        <v>8531</v>
      </c>
      <c r="C86" s="8">
        <v>8400</v>
      </c>
      <c r="D86" s="8">
        <f>+'[1]Budget by Month'!O74</f>
        <v>11473</v>
      </c>
      <c r="E86" s="8">
        <f>+[1]Operations!C15</f>
        <v>8400</v>
      </c>
      <c r="F86" s="8">
        <f>+[1]Operations!D15</f>
        <v>8400</v>
      </c>
      <c r="G86" s="8">
        <f>+[1]Operations!E15</f>
        <v>8400</v>
      </c>
      <c r="H86" s="8">
        <f>+[1]Operations!F15</f>
        <v>8400</v>
      </c>
      <c r="I86" s="8">
        <f>+[1]Operations!G15</f>
        <v>8400</v>
      </c>
      <c r="J86" s="8"/>
    </row>
    <row r="87" spans="1:10" x14ac:dyDescent="0.3">
      <c r="A87" s="7" t="s">
        <v>82</v>
      </c>
      <c r="B87" s="8">
        <v>13070</v>
      </c>
      <c r="C87" s="8">
        <v>10000</v>
      </c>
      <c r="D87" s="8">
        <f>+'[1]Budget by Month'!O75-D88</f>
        <v>10026</v>
      </c>
      <c r="E87" s="8">
        <f>+[1]Operations!C16</f>
        <v>7200</v>
      </c>
      <c r="F87" s="8">
        <f>+[1]Operations!D16</f>
        <v>7200</v>
      </c>
      <c r="G87" s="8">
        <f>+[1]Operations!E16</f>
        <v>7200</v>
      </c>
      <c r="H87" s="8">
        <f>+[1]Operations!F16</f>
        <v>7200</v>
      </c>
      <c r="I87" s="8">
        <f>+[1]Operations!G16</f>
        <v>7200</v>
      </c>
      <c r="J87" s="8"/>
    </row>
    <row r="88" spans="1:10" x14ac:dyDescent="0.3">
      <c r="A88" s="7" t="s">
        <v>83</v>
      </c>
      <c r="B88" s="8">
        <v>0</v>
      </c>
      <c r="C88" s="8">
        <v>0</v>
      </c>
      <c r="D88" s="8">
        <v>8000</v>
      </c>
      <c r="E88" s="8"/>
      <c r="F88" s="8"/>
      <c r="G88" s="8"/>
      <c r="H88" s="8"/>
      <c r="I88" s="8"/>
      <c r="J88" s="8"/>
    </row>
    <row r="89" spans="1:10" x14ac:dyDescent="0.3">
      <c r="A89" s="7" t="s">
        <v>84</v>
      </c>
      <c r="B89" s="8">
        <v>1760</v>
      </c>
      <c r="C89" s="8">
        <v>2400</v>
      </c>
      <c r="D89" s="8">
        <f>+'[1]Budget by Month'!O76</f>
        <v>4883</v>
      </c>
      <c r="E89" s="8">
        <f>+[1]Operations!C17</f>
        <v>2400</v>
      </c>
      <c r="F89" s="8">
        <f>+[1]Operations!D17</f>
        <v>2400</v>
      </c>
      <c r="G89" s="8">
        <f>+[1]Operations!E17</f>
        <v>2400</v>
      </c>
      <c r="H89" s="8">
        <f>+[1]Operations!F17</f>
        <v>2400</v>
      </c>
      <c r="I89" s="8">
        <f>+[1]Operations!G17</f>
        <v>2400</v>
      </c>
      <c r="J89" s="8"/>
    </row>
    <row r="90" spans="1:10" x14ac:dyDescent="0.3">
      <c r="A90" s="7" t="s">
        <v>85</v>
      </c>
      <c r="B90" s="8">
        <v>2465</v>
      </c>
      <c r="C90" s="8">
        <v>4000</v>
      </c>
      <c r="D90" s="8">
        <f>+'[1]Budget by Month'!O77</f>
        <v>11069</v>
      </c>
      <c r="E90" s="8">
        <f>+[1]Operations!C18</f>
        <v>1200</v>
      </c>
      <c r="F90" s="8">
        <f>+[1]Operations!D18</f>
        <v>1200</v>
      </c>
      <c r="G90" s="8">
        <f>+[1]Operations!E18</f>
        <v>1200</v>
      </c>
      <c r="H90" s="8">
        <f>+[1]Operations!F18</f>
        <v>1200</v>
      </c>
      <c r="I90" s="8">
        <f>+[1]Operations!G18</f>
        <v>1200</v>
      </c>
      <c r="J90" s="8"/>
    </row>
    <row r="91" spans="1:10" x14ac:dyDescent="0.3">
      <c r="A91" s="7" t="s">
        <v>86</v>
      </c>
      <c r="B91" s="8">
        <v>105</v>
      </c>
      <c r="C91" s="8">
        <v>600</v>
      </c>
      <c r="D91" s="8">
        <f>+'[1]Budget by Month'!O78</f>
        <v>1089</v>
      </c>
      <c r="E91" s="8">
        <f>+[1]Operations!C19</f>
        <v>600</v>
      </c>
      <c r="F91" s="8">
        <f>+[1]Operations!D19</f>
        <v>600</v>
      </c>
      <c r="G91" s="8">
        <f>+[1]Operations!E19</f>
        <v>600</v>
      </c>
      <c r="H91" s="8">
        <f>+[1]Operations!F19</f>
        <v>600</v>
      </c>
      <c r="I91" s="8">
        <f>+[1]Operations!G19</f>
        <v>600</v>
      </c>
      <c r="J91" s="8"/>
    </row>
    <row r="92" spans="1:10" x14ac:dyDescent="0.3">
      <c r="J92" s="6"/>
    </row>
    <row r="93" spans="1:10" x14ac:dyDescent="0.3">
      <c r="A93" s="7" t="s">
        <v>87</v>
      </c>
      <c r="B93" s="8">
        <v>62346</v>
      </c>
      <c r="C93" s="8">
        <v>69000</v>
      </c>
      <c r="D93" s="8">
        <f>+'[1]Budget by Month'!O80</f>
        <v>80028</v>
      </c>
      <c r="E93" s="8">
        <f>+[1]Operations!C23</f>
        <v>82400</v>
      </c>
      <c r="F93" s="8">
        <f>+[1]Operations!D23</f>
        <v>84872</v>
      </c>
      <c r="G93" s="8">
        <f>+[1]Operations!E23</f>
        <v>87418.16</v>
      </c>
      <c r="H93" s="8">
        <f>+[1]Operations!F23</f>
        <v>90040.704800000007</v>
      </c>
      <c r="I93" s="8">
        <f>+[1]Operations!G23</f>
        <v>92741.925944000002</v>
      </c>
      <c r="J93" s="8"/>
    </row>
    <row r="94" spans="1:10" x14ac:dyDescent="0.3">
      <c r="A94" s="7" t="s">
        <v>88</v>
      </c>
      <c r="B94" s="8">
        <v>7185</v>
      </c>
      <c r="C94" s="8">
        <f>+'[1]Budget by Month'!N81</f>
        <v>0</v>
      </c>
      <c r="D94" s="8">
        <f>+'[1]Budget by Month'!O81</f>
        <v>25232</v>
      </c>
      <c r="E94" s="8"/>
      <c r="F94" s="8"/>
      <c r="G94" s="8"/>
      <c r="H94" s="8"/>
      <c r="I94" s="8"/>
    </row>
    <row r="96" spans="1:10" x14ac:dyDescent="0.3">
      <c r="A96" s="7" t="s">
        <v>89</v>
      </c>
      <c r="B96" s="8">
        <v>168807</v>
      </c>
      <c r="C96" s="8">
        <v>170000</v>
      </c>
      <c r="D96" s="8">
        <f>+'[1]Budget by Month'!O83</f>
        <v>187000</v>
      </c>
      <c r="E96" s="8">
        <f>+[1]Operations!C29</f>
        <v>199000</v>
      </c>
      <c r="F96" s="8">
        <f>+[1]Operations!D29</f>
        <v>204970</v>
      </c>
      <c r="G96" s="8">
        <f>+[1]Operations!E29</f>
        <v>211119.1</v>
      </c>
      <c r="H96" s="8">
        <f>+[1]Operations!F29</f>
        <v>217452.67300000001</v>
      </c>
      <c r="I96" s="8">
        <f>+[1]Operations!G29</f>
        <v>223976.25319000002</v>
      </c>
    </row>
    <row r="97" spans="1:9" x14ac:dyDescent="0.3">
      <c r="A97" s="7" t="s">
        <v>90</v>
      </c>
      <c r="B97" s="8">
        <v>81504</v>
      </c>
      <c r="C97" s="8">
        <v>90000</v>
      </c>
      <c r="D97" s="8">
        <f>+'[1]Budget by Month'!O84</f>
        <v>95085</v>
      </c>
      <c r="E97" s="8">
        <f>+[1]Operations!C30</f>
        <v>96000</v>
      </c>
      <c r="F97" s="8">
        <f>+[1]Operations!D30</f>
        <v>98880</v>
      </c>
      <c r="G97" s="8">
        <f>+[1]Operations!E30</f>
        <v>101846.40000000001</v>
      </c>
      <c r="H97" s="8">
        <f>+[1]Operations!F30</f>
        <v>104901.79200000002</v>
      </c>
      <c r="I97" s="8">
        <f>+[1]Operations!G30</f>
        <v>108048.84576000003</v>
      </c>
    </row>
    <row r="98" spans="1:9" x14ac:dyDescent="0.3">
      <c r="A98" s="7" t="s">
        <v>91</v>
      </c>
      <c r="B98" s="8">
        <v>15353</v>
      </c>
      <c r="C98" s="8">
        <v>15000</v>
      </c>
      <c r="D98" s="8">
        <f>+'[1]Budget by Month'!O85</f>
        <v>15144</v>
      </c>
      <c r="E98" s="8">
        <f>+[1]Operations!C31</f>
        <v>15450</v>
      </c>
      <c r="F98" s="8">
        <f>+[1]Operations!D31</f>
        <v>15913.5</v>
      </c>
      <c r="G98" s="8">
        <f>+[1]Operations!E31</f>
        <v>16390.904999999999</v>
      </c>
      <c r="H98" s="8">
        <f>+[1]Operations!F31</f>
        <v>16882.632149999998</v>
      </c>
      <c r="I98" s="8">
        <f>+[1]Operations!G31</f>
        <v>17389.1111145</v>
      </c>
    </row>
    <row r="99" spans="1:9" x14ac:dyDescent="0.3">
      <c r="A99" s="7" t="s">
        <v>92</v>
      </c>
      <c r="B99" s="8">
        <v>75914</v>
      </c>
      <c r="C99" s="8">
        <v>79800</v>
      </c>
      <c r="D99" s="8">
        <f>+'[1]Budget by Month'!O86</f>
        <v>83504</v>
      </c>
      <c r="E99" s="8">
        <f>+[1]Operations!C32</f>
        <v>110000</v>
      </c>
      <c r="F99" s="8">
        <f>+[1]Operations!D32</f>
        <v>138585.15000000002</v>
      </c>
      <c r="G99" s="8">
        <f>+[1]Operations!E32</f>
        <v>142742.70450000002</v>
      </c>
      <c r="H99" s="8">
        <f>+[1]Operations!F32</f>
        <v>147024.98563500002</v>
      </c>
      <c r="I99" s="8">
        <f>+[1]Operations!G32</f>
        <v>151435.73520405003</v>
      </c>
    </row>
    <row r="100" spans="1:9" x14ac:dyDescent="0.3">
      <c r="A100" s="7" t="s">
        <v>93</v>
      </c>
      <c r="B100" s="8">
        <v>72885</v>
      </c>
      <c r="C100" s="8">
        <v>72000</v>
      </c>
      <c r="D100" s="8">
        <f>+'[1]Budget by Month'!O87</f>
        <v>83256</v>
      </c>
      <c r="E100" s="8">
        <f>+[1]Operations!C33</f>
        <v>85753.680000000008</v>
      </c>
      <c r="F100" s="8">
        <f>+[1]Operations!D33</f>
        <v>88326.290400000013</v>
      </c>
      <c r="G100" s="8">
        <f>+[1]Operations!E33</f>
        <v>90976.079112000021</v>
      </c>
      <c r="H100" s="8">
        <f>+[1]Operations!F33</f>
        <v>93705.36148536003</v>
      </c>
      <c r="I100" s="8">
        <f>+[1]Operations!G33</f>
        <v>96516.52232992083</v>
      </c>
    </row>
    <row r="101" spans="1:9" x14ac:dyDescent="0.3">
      <c r="A101" s="7"/>
      <c r="B101" s="8"/>
      <c r="C101" s="8"/>
      <c r="D101" s="8"/>
      <c r="E101" s="8"/>
      <c r="F101" s="8"/>
      <c r="G101" s="8"/>
      <c r="H101" s="8"/>
      <c r="I101" s="8"/>
    </row>
    <row r="102" spans="1:9" x14ac:dyDescent="0.3">
      <c r="A102" s="7" t="s">
        <v>94</v>
      </c>
      <c r="B102" s="8">
        <v>139410</v>
      </c>
      <c r="C102" s="8">
        <f>+'[1]Budget by Month'!N88</f>
        <v>0</v>
      </c>
      <c r="D102" s="8">
        <f>+'[1]Budget by Month'!O88</f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</row>
    <row r="103" spans="1:9" x14ac:dyDescent="0.3">
      <c r="A103" s="7" t="s">
        <v>95</v>
      </c>
      <c r="B103" s="8">
        <v>21939</v>
      </c>
      <c r="C103" s="8">
        <v>20100</v>
      </c>
      <c r="D103" s="8">
        <f>+'[1]Budget by Month'!O89</f>
        <v>18649</v>
      </c>
      <c r="E103" s="8">
        <f>SUM([1]Mortgages!B26:B38)</f>
        <v>18947.922254242196</v>
      </c>
      <c r="F103" s="8">
        <f>SUM([1]Mortgages!B39:B51)</f>
        <v>16633.835856470567</v>
      </c>
      <c r="G103" s="8">
        <f>SUM([1]Mortgages!B52:B63)</f>
        <v>14697.203813501388</v>
      </c>
      <c r="H103" s="8">
        <f>SUM([1]Mortgages!B64:B75)</f>
        <v>12778.646452936577</v>
      </c>
      <c r="I103" s="8">
        <f>SUM([1]Mortgages!B76:B87)</f>
        <v>10768.092959578593</v>
      </c>
    </row>
    <row r="104" spans="1:9" x14ac:dyDescent="0.3">
      <c r="A104" s="7" t="s">
        <v>96</v>
      </c>
      <c r="B104" s="8">
        <v>329079</v>
      </c>
      <c r="C104" s="8">
        <v>726167</v>
      </c>
      <c r="D104" s="8">
        <f>+'[1]Budget by Month'!O90</f>
        <v>734467.62169180426</v>
      </c>
      <c r="E104" s="8">
        <f>SUM([1]Mortgages!H40:H52)</f>
        <v>714611.39367439027</v>
      </c>
      <c r="F104" s="8">
        <f>SUM([1]Mortgages!H53:H64)</f>
        <v>693948.54172251106</v>
      </c>
      <c r="G104" s="8">
        <f>SUM([1]Mortgages!H65:H76)</f>
        <v>674502.49923708453</v>
      </c>
      <c r="H104" s="8">
        <f>SUM([1]Mortgages!H77:H88)</f>
        <v>650593.02324642218</v>
      </c>
      <c r="I104" s="8">
        <f>SUM([1]Mortgages!H89:H100)</f>
        <v>627791.91743625526</v>
      </c>
    </row>
    <row r="105" spans="1:9" x14ac:dyDescent="0.3">
      <c r="A105" s="7" t="s">
        <v>97</v>
      </c>
      <c r="B105" s="8">
        <v>0</v>
      </c>
      <c r="C105" s="8">
        <f>+'[1]Budget by Month'!N91</f>
        <v>0</v>
      </c>
      <c r="D105" s="8">
        <f>+'[1]Budget by Month'!O91</f>
        <v>0</v>
      </c>
      <c r="E105" s="8">
        <f>+[1]Operations!C25</f>
        <v>0</v>
      </c>
      <c r="F105" s="8">
        <f>+[1]Operations!D25</f>
        <v>0</v>
      </c>
      <c r="G105" s="8">
        <f>+[1]Operations!E25</f>
        <v>0</v>
      </c>
      <c r="H105" s="8">
        <f>+[1]Operations!F25</f>
        <v>0</v>
      </c>
      <c r="I105" s="8">
        <f>+[1]Operations!G25</f>
        <v>0</v>
      </c>
    </row>
    <row r="106" spans="1:9" x14ac:dyDescent="0.3">
      <c r="A106" s="7" t="s">
        <v>98</v>
      </c>
      <c r="B106" s="8">
        <v>645015</v>
      </c>
      <c r="C106" s="8">
        <v>860575</v>
      </c>
      <c r="D106" s="8">
        <f>+'[1]Budget by Month'!O92</f>
        <v>900948</v>
      </c>
      <c r="E106" s="8">
        <f>+[1]Operations!C21</f>
        <v>878424.29999999993</v>
      </c>
      <c r="F106" s="8">
        <f>+[1]Operations!D21</f>
        <v>856463.69249999989</v>
      </c>
      <c r="G106" s="8">
        <f>+[1]Operations!E21</f>
        <v>835052.10018749989</v>
      </c>
      <c r="H106" s="8">
        <f>+[1]Operations!F21</f>
        <v>814175.79768281232</v>
      </c>
      <c r="I106" s="8">
        <f>+[1]Operations!G21</f>
        <v>793821.40274074196</v>
      </c>
    </row>
    <row r="107" spans="1:9" x14ac:dyDescent="0.3">
      <c r="A107" s="7" t="s">
        <v>99</v>
      </c>
      <c r="B107" s="8">
        <v>14247</v>
      </c>
      <c r="C107" s="8">
        <f>+'[1]Budget by Month'!N93</f>
        <v>0</v>
      </c>
      <c r="D107" s="8">
        <f>+'[1]Budget by Month'!O93</f>
        <v>75338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</row>
    <row r="108" spans="1:9" x14ac:dyDescent="0.3">
      <c r="A108" s="7" t="s">
        <v>100</v>
      </c>
      <c r="B108" s="8">
        <v>0</v>
      </c>
      <c r="C108" s="8">
        <f>+'[1]Budget by Month'!N94</f>
        <v>0</v>
      </c>
      <c r="D108" s="8">
        <f>+'[1]Budget by Month'!O94</f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</row>
    <row r="109" spans="1:9" x14ac:dyDescent="0.3">
      <c r="A109" s="5" t="s">
        <v>101</v>
      </c>
      <c r="B109" s="11">
        <f t="shared" ref="B109:C109" si="11">SUM(B72:B108)</f>
        <v>1724059</v>
      </c>
      <c r="C109" s="11">
        <f t="shared" si="11"/>
        <v>2192992</v>
      </c>
      <c r="D109" s="11">
        <f t="shared" ref="D109:I109" si="12">SUM(D72:D108)</f>
        <v>2414144.2883584709</v>
      </c>
      <c r="E109" s="11">
        <f t="shared" si="12"/>
        <v>2285287.2959286324</v>
      </c>
      <c r="F109" s="11">
        <f t="shared" si="12"/>
        <v>2284693.0104789818</v>
      </c>
      <c r="G109" s="11">
        <f t="shared" si="12"/>
        <v>2262145.1518500862</v>
      </c>
      <c r="H109" s="11">
        <f t="shared" si="12"/>
        <v>2235155.6164525314</v>
      </c>
      <c r="I109" s="11">
        <f t="shared" si="12"/>
        <v>2211489.8066790467</v>
      </c>
    </row>
    <row r="111" spans="1:9" x14ac:dyDescent="0.3">
      <c r="A111" s="15" t="s">
        <v>102</v>
      </c>
    </row>
    <row r="112" spans="1:9" x14ac:dyDescent="0.3">
      <c r="A112" s="4" t="s">
        <v>103</v>
      </c>
      <c r="B112" s="6">
        <v>3182</v>
      </c>
      <c r="C112" s="6">
        <v>0</v>
      </c>
      <c r="D112" s="6">
        <f>+'[1]Budget by Month'!O97</f>
        <v>0</v>
      </c>
    </row>
    <row r="113" spans="1:9" x14ac:dyDescent="0.3">
      <c r="A113" s="4" t="s">
        <v>104</v>
      </c>
      <c r="B113" s="6">
        <v>3556</v>
      </c>
      <c r="C113" s="6">
        <f>+'[1]Budget by Month'!N98</f>
        <v>0</v>
      </c>
      <c r="D113" s="6">
        <f>+'[1]Budget by Month'!O98</f>
        <v>5877</v>
      </c>
      <c r="E113" s="6">
        <v>2000</v>
      </c>
      <c r="F113" s="6">
        <v>2000</v>
      </c>
      <c r="G113" s="6">
        <v>2000</v>
      </c>
      <c r="H113" s="6">
        <v>2000</v>
      </c>
      <c r="I113" s="6">
        <v>2000</v>
      </c>
    </row>
    <row r="114" spans="1:9" x14ac:dyDescent="0.3">
      <c r="A114" t="s">
        <v>105</v>
      </c>
      <c r="B114" s="6">
        <f>+'[1]Budget by Month'!M99</f>
        <v>0</v>
      </c>
      <c r="C114" s="6">
        <f>+'[1]Budget by Month'!N99</f>
        <v>0</v>
      </c>
      <c r="D114" s="6">
        <f>+'[1]Budget by Month'!O99</f>
        <v>0</v>
      </c>
    </row>
    <row r="115" spans="1:9" x14ac:dyDescent="0.3">
      <c r="A115" t="s">
        <v>106</v>
      </c>
      <c r="B115" s="6">
        <f>+'[1]Budget by Month'!M100</f>
        <v>0</v>
      </c>
      <c r="C115" s="6">
        <f>+'[1]Budget by Month'!N100</f>
        <v>0</v>
      </c>
      <c r="D115" s="6">
        <f>+'[1]Budget by Month'!O100</f>
        <v>0</v>
      </c>
    </row>
    <row r="116" spans="1:9" x14ac:dyDescent="0.3">
      <c r="A116" t="s">
        <v>107</v>
      </c>
      <c r="B116" s="6">
        <v>0</v>
      </c>
      <c r="C116" s="6">
        <v>0</v>
      </c>
      <c r="D116" s="6">
        <f>+'[1]Budget by Month'!O101</f>
        <v>1000</v>
      </c>
      <c r="E116" s="6">
        <v>1000</v>
      </c>
      <c r="F116" s="6">
        <v>1000</v>
      </c>
      <c r="G116" s="6">
        <v>1000</v>
      </c>
      <c r="H116" s="6">
        <v>1000</v>
      </c>
      <c r="I116" s="6">
        <v>1000</v>
      </c>
    </row>
    <row r="117" spans="1:9" x14ac:dyDescent="0.3">
      <c r="A117" t="s">
        <v>108</v>
      </c>
      <c r="B117" s="6">
        <f>+'[1]Budget by Month'!M102</f>
        <v>0</v>
      </c>
      <c r="C117" s="6">
        <f>+'[1]Budget by Month'!N102</f>
        <v>0</v>
      </c>
      <c r="D117" s="6">
        <f>+'[1]Budget by Month'!O102</f>
        <v>0</v>
      </c>
    </row>
    <row r="118" spans="1:9" x14ac:dyDescent="0.3">
      <c r="A118" t="s">
        <v>109</v>
      </c>
      <c r="B118" s="6">
        <f>+'[1]Budget by Month'!M103</f>
        <v>0</v>
      </c>
      <c r="C118" s="6">
        <f>+'[1]Budget by Month'!N103</f>
        <v>0</v>
      </c>
      <c r="D118" s="6">
        <f>+'[1]Budget by Month'!O103</f>
        <v>0</v>
      </c>
    </row>
    <row r="119" spans="1:9" x14ac:dyDescent="0.3">
      <c r="A119" s="5" t="s">
        <v>110</v>
      </c>
      <c r="B119" s="11">
        <f t="shared" ref="B119:I119" si="13">SUM(B112:B118)</f>
        <v>6738</v>
      </c>
      <c r="C119" s="11">
        <f t="shared" si="13"/>
        <v>0</v>
      </c>
      <c r="D119" s="11">
        <f t="shared" si="13"/>
        <v>6877</v>
      </c>
      <c r="E119" s="11">
        <f t="shared" si="13"/>
        <v>3000</v>
      </c>
      <c r="F119" s="11">
        <f t="shared" si="13"/>
        <v>3000</v>
      </c>
      <c r="G119" s="11">
        <f t="shared" si="13"/>
        <v>3000</v>
      </c>
      <c r="H119" s="11">
        <f t="shared" si="13"/>
        <v>3000</v>
      </c>
      <c r="I119" s="11">
        <f t="shared" si="13"/>
        <v>3000</v>
      </c>
    </row>
    <row r="121" spans="1:9" x14ac:dyDescent="0.3">
      <c r="A121" s="5" t="s">
        <v>111</v>
      </c>
    </row>
    <row r="122" spans="1:9" x14ac:dyDescent="0.3">
      <c r="A122" s="7" t="s">
        <v>112</v>
      </c>
      <c r="B122" s="8">
        <v>200080</v>
      </c>
      <c r="C122" s="8">
        <v>190273</v>
      </c>
      <c r="D122" s="8">
        <f>+'[1]Budget by Month'!O105</f>
        <v>191384.52000000002</v>
      </c>
      <c r="E122" s="8">
        <f>+[1]Revenues!F87*0.48</f>
        <v>194506.56</v>
      </c>
      <c r="F122" s="8">
        <f>+[1]Revenues!H87*0.47</f>
        <v>205107.06</v>
      </c>
      <c r="G122" s="8">
        <f>+[1]Revenues!J87*0.46</f>
        <v>207895.62</v>
      </c>
      <c r="H122" s="8">
        <f>+[1]Revenues!L87*0.46</f>
        <v>220788.13200000001</v>
      </c>
      <c r="I122" s="8">
        <f>+[1]Revenues!N87*0.46</f>
        <v>228481.63200000001</v>
      </c>
    </row>
    <row r="123" spans="1:9" x14ac:dyDescent="0.3">
      <c r="A123" s="7" t="s">
        <v>113</v>
      </c>
      <c r="B123" s="8">
        <v>26371</v>
      </c>
      <c r="C123" s="8">
        <v>17125</v>
      </c>
      <c r="D123" s="8">
        <f>+'[1]Budget by Month'!O106-D124</f>
        <v>19245.196800000005</v>
      </c>
      <c r="E123" s="8">
        <f>+E122*0.09</f>
        <v>17505.590400000001</v>
      </c>
      <c r="F123" s="8">
        <f t="shared" ref="F123:I123" si="14">+F122*0.09</f>
        <v>18459.635399999999</v>
      </c>
      <c r="G123" s="8">
        <f t="shared" si="14"/>
        <v>18710.605799999998</v>
      </c>
      <c r="H123" s="8">
        <f t="shared" si="14"/>
        <v>19870.93188</v>
      </c>
      <c r="I123" s="8">
        <f t="shared" si="14"/>
        <v>20563.346880000001</v>
      </c>
    </row>
    <row r="124" spans="1:9" x14ac:dyDescent="0.3">
      <c r="A124" s="7" t="s">
        <v>114</v>
      </c>
      <c r="B124" s="8">
        <v>0</v>
      </c>
      <c r="C124" s="8">
        <v>0</v>
      </c>
      <c r="D124" s="8">
        <v>15000</v>
      </c>
      <c r="E124" s="8"/>
      <c r="F124" s="8"/>
      <c r="G124" s="8"/>
      <c r="H124" s="8"/>
      <c r="I124" s="8"/>
    </row>
    <row r="125" spans="1:9" x14ac:dyDescent="0.3">
      <c r="A125" s="7" t="s">
        <v>115</v>
      </c>
      <c r="B125" s="8">
        <v>1802</v>
      </c>
      <c r="C125" s="8">
        <v>2500</v>
      </c>
      <c r="D125" s="8">
        <f>+'[1]Budget by Month'!O107</f>
        <v>1345.3333333333333</v>
      </c>
      <c r="E125" s="8">
        <v>2500</v>
      </c>
      <c r="F125" s="8">
        <v>2500</v>
      </c>
      <c r="G125" s="8">
        <v>2500</v>
      </c>
      <c r="H125" s="8">
        <v>2500</v>
      </c>
      <c r="I125" s="8">
        <v>2500</v>
      </c>
    </row>
    <row r="126" spans="1:9" x14ac:dyDescent="0.3">
      <c r="A126" s="7" t="s">
        <v>116</v>
      </c>
      <c r="B126" s="8">
        <v>230</v>
      </c>
      <c r="C126" s="8">
        <v>1000</v>
      </c>
      <c r="D126" s="8">
        <f>+'[1]Budget by Month'!O108</f>
        <v>987.66666666666674</v>
      </c>
      <c r="E126" s="8">
        <v>1000</v>
      </c>
      <c r="F126" s="8">
        <v>1000</v>
      </c>
      <c r="G126" s="8">
        <v>1000</v>
      </c>
      <c r="H126" s="8">
        <v>1000</v>
      </c>
      <c r="I126" s="8">
        <v>1000</v>
      </c>
    </row>
    <row r="127" spans="1:9" x14ac:dyDescent="0.3">
      <c r="A127" s="7" t="s">
        <v>117</v>
      </c>
      <c r="B127" s="8">
        <v>3115</v>
      </c>
      <c r="C127" s="8">
        <v>4500</v>
      </c>
      <c r="D127" s="8">
        <f>+'[1]Budget by Month'!O109</f>
        <v>2856</v>
      </c>
      <c r="E127" s="8">
        <v>3600</v>
      </c>
      <c r="F127" s="8">
        <v>3600</v>
      </c>
      <c r="G127" s="8">
        <v>3600</v>
      </c>
      <c r="H127" s="8">
        <v>3600</v>
      </c>
      <c r="I127" s="8">
        <v>3600</v>
      </c>
    </row>
    <row r="128" spans="1:9" x14ac:dyDescent="0.3">
      <c r="A128" s="7" t="s">
        <v>118</v>
      </c>
      <c r="B128" s="8">
        <v>251</v>
      </c>
      <c r="C128" s="8">
        <v>800</v>
      </c>
      <c r="D128" s="8">
        <f>+'[1]Budget by Month'!O110</f>
        <v>0</v>
      </c>
      <c r="E128" s="8">
        <f>+'[1]Kit Rec HK'!C8</f>
        <v>300</v>
      </c>
      <c r="F128" s="8">
        <f>+'[1]Kit Rec HK'!D8</f>
        <v>300</v>
      </c>
      <c r="G128" s="8">
        <f>+'[1]Kit Rec HK'!E8</f>
        <v>300</v>
      </c>
      <c r="H128" s="8">
        <f>+'[1]Kit Rec HK'!F8</f>
        <v>300</v>
      </c>
      <c r="I128" s="8">
        <f>+'[1]Kit Rec HK'!G8</f>
        <v>300</v>
      </c>
    </row>
    <row r="129" spans="1:9" x14ac:dyDescent="0.3">
      <c r="A129" s="5" t="s">
        <v>119</v>
      </c>
      <c r="B129" s="11">
        <f t="shared" ref="B129:C129" si="15">SUM(B122:B128)</f>
        <v>231849</v>
      </c>
      <c r="C129" s="11">
        <f t="shared" si="15"/>
        <v>216198</v>
      </c>
      <c r="D129" s="11">
        <f t="shared" ref="D129:I129" si="16">SUM(D122:D128)</f>
        <v>230818.71680000002</v>
      </c>
      <c r="E129" s="11">
        <f t="shared" si="16"/>
        <v>219412.15039999998</v>
      </c>
      <c r="F129" s="11">
        <f t="shared" si="16"/>
        <v>230966.6954</v>
      </c>
      <c r="G129" s="11">
        <f t="shared" si="16"/>
        <v>234006.22579999999</v>
      </c>
      <c r="H129" s="11">
        <f t="shared" si="16"/>
        <v>248059.06388</v>
      </c>
      <c r="I129" s="11">
        <f t="shared" si="16"/>
        <v>256444.97888000001</v>
      </c>
    </row>
    <row r="131" spans="1:9" x14ac:dyDescent="0.3">
      <c r="A131" s="5" t="s">
        <v>120</v>
      </c>
    </row>
    <row r="132" spans="1:9" x14ac:dyDescent="0.3">
      <c r="A132" s="7" t="s">
        <v>121</v>
      </c>
      <c r="B132" s="8">
        <v>23325</v>
      </c>
      <c r="C132" s="8">
        <v>15000</v>
      </c>
      <c r="D132" s="8">
        <f>+'[1]Budget by Month'!O112-D133</f>
        <v>13329</v>
      </c>
      <c r="E132" s="8">
        <v>12000</v>
      </c>
      <c r="F132" s="8">
        <v>12000</v>
      </c>
      <c r="G132" s="8">
        <v>12000</v>
      </c>
      <c r="H132" s="8">
        <v>12000</v>
      </c>
      <c r="I132" s="8">
        <v>12000</v>
      </c>
    </row>
    <row r="133" spans="1:9" x14ac:dyDescent="0.3">
      <c r="A133" s="7" t="s">
        <v>122</v>
      </c>
      <c r="B133" s="8">
        <v>0</v>
      </c>
      <c r="C133" s="8">
        <v>0</v>
      </c>
      <c r="D133" s="8">
        <v>15000</v>
      </c>
      <c r="E133" s="8"/>
      <c r="F133" s="8"/>
      <c r="G133" s="8"/>
      <c r="H133" s="8"/>
      <c r="I133" s="8"/>
    </row>
    <row r="134" spans="1:9" x14ac:dyDescent="0.3">
      <c r="A134" s="7" t="s">
        <v>123</v>
      </c>
      <c r="B134" s="8">
        <v>5645</v>
      </c>
      <c r="C134" s="8">
        <v>3000</v>
      </c>
      <c r="D134" s="8">
        <f>+'[1]Budget by Month'!O113</f>
        <v>2293</v>
      </c>
      <c r="E134" s="8">
        <v>3000</v>
      </c>
      <c r="F134" s="8">
        <v>3000</v>
      </c>
      <c r="G134" s="8">
        <v>3000</v>
      </c>
      <c r="H134" s="8">
        <v>3000</v>
      </c>
      <c r="I134" s="8">
        <v>3000</v>
      </c>
    </row>
    <row r="135" spans="1:9" x14ac:dyDescent="0.3">
      <c r="A135" s="4" t="s">
        <v>124</v>
      </c>
    </row>
    <row r="136" spans="1:9" x14ac:dyDescent="0.3">
      <c r="A136" s="5" t="s">
        <v>125</v>
      </c>
      <c r="B136" s="11">
        <f t="shared" ref="B136:C136" si="17">SUM(B132:B135)</f>
        <v>28970</v>
      </c>
      <c r="C136" s="11">
        <f t="shared" si="17"/>
        <v>18000</v>
      </c>
      <c r="D136" s="11">
        <f t="shared" ref="D136:I136" si="18">SUM(D132:D135)</f>
        <v>30622</v>
      </c>
      <c r="E136" s="11">
        <f t="shared" si="18"/>
        <v>15000</v>
      </c>
      <c r="F136" s="11">
        <f t="shared" si="18"/>
        <v>15000</v>
      </c>
      <c r="G136" s="11">
        <f t="shared" si="18"/>
        <v>15000</v>
      </c>
      <c r="H136" s="11">
        <f t="shared" si="18"/>
        <v>15000</v>
      </c>
      <c r="I136" s="11">
        <f t="shared" si="18"/>
        <v>15000</v>
      </c>
    </row>
    <row r="138" spans="1:9" x14ac:dyDescent="0.3">
      <c r="A138" s="5" t="s">
        <v>126</v>
      </c>
    </row>
    <row r="139" spans="1:9" x14ac:dyDescent="0.3">
      <c r="A139" s="7" t="s">
        <v>127</v>
      </c>
      <c r="B139" s="8">
        <v>1446</v>
      </c>
      <c r="C139" s="8">
        <v>2000</v>
      </c>
      <c r="D139" s="8">
        <f>+'[1]Budget by Month'!O115</f>
        <v>866.66679999999997</v>
      </c>
      <c r="E139" s="8">
        <f>+'[1]Kit Rec HK'!C17</f>
        <v>2000</v>
      </c>
      <c r="F139" s="8">
        <f>+'[1]Kit Rec HK'!D17</f>
        <v>2000</v>
      </c>
      <c r="G139" s="8">
        <f>+'[1]Kit Rec HK'!E17</f>
        <v>2000</v>
      </c>
      <c r="H139" s="8">
        <f>+'[1]Kit Rec HK'!F17</f>
        <v>2000</v>
      </c>
      <c r="I139" s="8">
        <f>+'[1]Kit Rec HK'!G17</f>
        <v>2000</v>
      </c>
    </row>
    <row r="140" spans="1:9" x14ac:dyDescent="0.3">
      <c r="A140" s="7" t="s">
        <v>128</v>
      </c>
      <c r="B140" s="8">
        <v>2912</v>
      </c>
      <c r="C140" s="8">
        <v>3000</v>
      </c>
      <c r="D140" s="8">
        <f>+'[1]Budget by Month'!O116</f>
        <v>4261</v>
      </c>
      <c r="E140" s="8">
        <f>+'[1]Kit Rec HK'!C18</f>
        <v>3000</v>
      </c>
      <c r="F140" s="8">
        <f>+'[1]Kit Rec HK'!D18</f>
        <v>3000</v>
      </c>
      <c r="G140" s="8">
        <f>+'[1]Kit Rec HK'!E18</f>
        <v>3000</v>
      </c>
      <c r="H140" s="8">
        <f>+'[1]Kit Rec HK'!F18</f>
        <v>3000</v>
      </c>
      <c r="I140" s="8">
        <f>+'[1]Kit Rec HK'!G18</f>
        <v>3000</v>
      </c>
    </row>
    <row r="141" spans="1:9" x14ac:dyDescent="0.3">
      <c r="A141" s="7" t="s">
        <v>129</v>
      </c>
      <c r="B141" s="8">
        <v>650</v>
      </c>
      <c r="C141" s="8">
        <v>1000</v>
      </c>
      <c r="D141" s="8">
        <f>+'[1]Budget by Month'!O117</f>
        <v>1524.3332</v>
      </c>
      <c r="E141" s="8">
        <f>+'[1]Kit Rec HK'!C19</f>
        <v>900</v>
      </c>
      <c r="F141" s="8">
        <f>+'[1]Kit Rec HK'!D19</f>
        <v>900</v>
      </c>
      <c r="G141" s="8">
        <f>+'[1]Kit Rec HK'!E19</f>
        <v>900</v>
      </c>
      <c r="H141" s="8">
        <f>+'[1]Kit Rec HK'!F19</f>
        <v>900</v>
      </c>
      <c r="I141" s="8">
        <f>+'[1]Kit Rec HK'!G19</f>
        <v>900</v>
      </c>
    </row>
    <row r="142" spans="1:9" x14ac:dyDescent="0.3">
      <c r="A142" s="7" t="s">
        <v>130</v>
      </c>
      <c r="B142" s="8">
        <v>0</v>
      </c>
      <c r="C142" s="8">
        <v>0</v>
      </c>
      <c r="D142" s="8">
        <v>4000</v>
      </c>
      <c r="E142" s="8"/>
      <c r="F142" s="8"/>
      <c r="G142" s="8"/>
      <c r="H142" s="8"/>
      <c r="I142" s="8"/>
    </row>
    <row r="143" spans="1:9" x14ac:dyDescent="0.3">
      <c r="A143" s="7" t="s">
        <v>131</v>
      </c>
      <c r="B143" s="8">
        <v>11605</v>
      </c>
      <c r="C143" s="8">
        <v>10000</v>
      </c>
      <c r="D143" s="8">
        <f>+'[1]Budget by Month'!O118-D142</f>
        <v>11256.333333333328</v>
      </c>
      <c r="E143" s="8">
        <f>+'[1]Kit Rec HK'!C20</f>
        <v>10000</v>
      </c>
      <c r="F143" s="8">
        <f>+'[1]Kit Rec HK'!D20</f>
        <v>10000</v>
      </c>
      <c r="G143" s="8">
        <f>+'[1]Kit Rec HK'!E20</f>
        <v>10000</v>
      </c>
      <c r="H143" s="8">
        <f>+'[1]Kit Rec HK'!F20</f>
        <v>10000</v>
      </c>
      <c r="I143" s="8">
        <f>+'[1]Kit Rec HK'!G20</f>
        <v>10000</v>
      </c>
    </row>
    <row r="144" spans="1:9" x14ac:dyDescent="0.3">
      <c r="A144" s="5" t="s">
        <v>132</v>
      </c>
      <c r="B144" s="11">
        <f t="shared" ref="B144:C144" si="19">SUM(B139:B143)</f>
        <v>16613</v>
      </c>
      <c r="C144" s="11">
        <f t="shared" si="19"/>
        <v>16000</v>
      </c>
      <c r="D144" s="11">
        <f t="shared" ref="D144:I144" si="20">SUM(D139:D143)</f>
        <v>21908.333333333328</v>
      </c>
      <c r="E144" s="11">
        <f t="shared" si="20"/>
        <v>15900</v>
      </c>
      <c r="F144" s="11">
        <f t="shared" si="20"/>
        <v>15900</v>
      </c>
      <c r="G144" s="11">
        <f t="shared" si="20"/>
        <v>15900</v>
      </c>
      <c r="H144" s="11">
        <f t="shared" si="20"/>
        <v>15900</v>
      </c>
      <c r="I144" s="11">
        <f t="shared" si="20"/>
        <v>15900</v>
      </c>
    </row>
    <row r="146" spans="1:9" x14ac:dyDescent="0.3">
      <c r="A146" s="5" t="s">
        <v>133</v>
      </c>
    </row>
    <row r="147" spans="1:9" x14ac:dyDescent="0.3">
      <c r="A147" s="7" t="s">
        <v>134</v>
      </c>
      <c r="B147" s="8">
        <v>18714</v>
      </c>
      <c r="C147" s="8">
        <v>20000</v>
      </c>
      <c r="D147" s="8">
        <f>+'[1]Budget by Month'!O120</f>
        <v>22046</v>
      </c>
      <c r="E147" s="8">
        <f>+[1]Maintenance!C3</f>
        <v>12000</v>
      </c>
      <c r="F147" s="8">
        <f>+[1]Maintenance!D3</f>
        <v>12000</v>
      </c>
      <c r="G147" s="8">
        <f>+[1]Maintenance!E3</f>
        <v>12000</v>
      </c>
      <c r="H147" s="8">
        <f>+[1]Maintenance!F3</f>
        <v>12000</v>
      </c>
      <c r="I147" s="8">
        <f>+[1]Maintenance!G3</f>
        <v>12000</v>
      </c>
    </row>
    <row r="148" spans="1:9" x14ac:dyDescent="0.3">
      <c r="A148" s="7" t="s">
        <v>135</v>
      </c>
      <c r="B148" s="8">
        <v>4793</v>
      </c>
      <c r="C148" s="8">
        <v>15000</v>
      </c>
      <c r="D148" s="8">
        <f>+'[1]Budget by Month'!O121</f>
        <v>13007</v>
      </c>
      <c r="E148" s="8">
        <f>+[1]Maintenance!C4</f>
        <v>12500</v>
      </c>
      <c r="F148" s="8">
        <f>+[1]Maintenance!D4</f>
        <v>12500</v>
      </c>
      <c r="G148" s="8">
        <f>+[1]Maintenance!E4</f>
        <v>12500</v>
      </c>
      <c r="H148" s="8">
        <f>+[1]Maintenance!F4</f>
        <v>12500</v>
      </c>
      <c r="I148" s="8">
        <f>+[1]Maintenance!G4</f>
        <v>12500</v>
      </c>
    </row>
    <row r="149" spans="1:9" x14ac:dyDescent="0.3">
      <c r="A149" s="7" t="s">
        <v>136</v>
      </c>
      <c r="B149" s="8">
        <v>3486</v>
      </c>
      <c r="C149" s="8">
        <v>2500</v>
      </c>
      <c r="D149" s="8">
        <f>+'[1]Budget by Month'!O122</f>
        <v>5929.6666666666679</v>
      </c>
      <c r="E149" s="8">
        <f>+[1]Maintenance!C5</f>
        <v>5000</v>
      </c>
      <c r="F149" s="8">
        <f>+[1]Maintenance!D5</f>
        <v>5000</v>
      </c>
      <c r="G149" s="8">
        <f>+[1]Maintenance!E5</f>
        <v>5000</v>
      </c>
      <c r="H149" s="8">
        <f>+[1]Maintenance!F5</f>
        <v>5000</v>
      </c>
      <c r="I149" s="8">
        <f>+[1]Maintenance!G5</f>
        <v>5000</v>
      </c>
    </row>
    <row r="150" spans="1:9" x14ac:dyDescent="0.3">
      <c r="A150" s="7" t="s">
        <v>137</v>
      </c>
      <c r="B150" s="8">
        <v>18632</v>
      </c>
      <c r="C150" s="8">
        <v>20000</v>
      </c>
      <c r="D150" s="8">
        <f>+'[1]Budget by Month'!O123</f>
        <v>26016</v>
      </c>
      <c r="E150" s="8">
        <f>+[1]Maintenance!C6</f>
        <v>30000</v>
      </c>
      <c r="F150" s="8">
        <f>+[1]Maintenance!D6</f>
        <v>30900</v>
      </c>
      <c r="G150" s="8">
        <f>+[1]Maintenance!E6</f>
        <v>31827</v>
      </c>
      <c r="H150" s="8">
        <f>+[1]Maintenance!F6</f>
        <v>32781.81</v>
      </c>
      <c r="I150" s="8">
        <f>+[1]Maintenance!G6</f>
        <v>33765.264299999995</v>
      </c>
    </row>
    <row r="151" spans="1:9" x14ac:dyDescent="0.3">
      <c r="A151" s="7" t="s">
        <v>138</v>
      </c>
      <c r="B151" s="8">
        <v>8602</v>
      </c>
      <c r="C151" s="8">
        <v>10000</v>
      </c>
      <c r="D151" s="8">
        <f>+'[1]Budget by Month'!O124</f>
        <v>12880</v>
      </c>
      <c r="E151" s="8">
        <f>+[1]Maintenance!C7</f>
        <v>13390</v>
      </c>
      <c r="F151" s="8">
        <f>+[1]Maintenance!D7</f>
        <v>13791.7</v>
      </c>
      <c r="G151" s="8">
        <f>+[1]Maintenance!E7</f>
        <v>14205.451000000001</v>
      </c>
      <c r="H151" s="8">
        <f>+[1]Maintenance!F7</f>
        <v>14631.614530000001</v>
      </c>
      <c r="I151" s="8">
        <f>+[1]Maintenance!G7</f>
        <v>15070.562965900001</v>
      </c>
    </row>
    <row r="152" spans="1:9" x14ac:dyDescent="0.3">
      <c r="A152" s="7" t="s">
        <v>139</v>
      </c>
      <c r="B152" s="8">
        <v>11070</v>
      </c>
      <c r="C152" s="8">
        <v>9000</v>
      </c>
      <c r="D152" s="8">
        <f>+'[1]Budget by Month'!O125</f>
        <v>9078</v>
      </c>
      <c r="E152" s="8">
        <f>+[1]Maintenance!C8</f>
        <v>9270</v>
      </c>
      <c r="F152" s="8">
        <f>+[1]Maintenance!D8</f>
        <v>9548.1</v>
      </c>
      <c r="G152" s="8">
        <f>+[1]Maintenance!E8</f>
        <v>9834.5430000000015</v>
      </c>
      <c r="H152" s="8">
        <f>+[1]Maintenance!F8</f>
        <v>10129.579290000001</v>
      </c>
      <c r="I152" s="8">
        <f>+[1]Maintenance!G8</f>
        <v>10433.466668700003</v>
      </c>
    </row>
    <row r="153" spans="1:9" x14ac:dyDescent="0.3">
      <c r="A153" s="7" t="s">
        <v>140</v>
      </c>
      <c r="B153" s="8">
        <v>1225</v>
      </c>
      <c r="C153" s="8">
        <v>3000</v>
      </c>
      <c r="D153" s="8">
        <f>+'[1]Budget by Month'!O126</f>
        <v>166.66666666666666</v>
      </c>
      <c r="E153" s="8">
        <f>+[1]Maintenance!C9</f>
        <v>500</v>
      </c>
      <c r="F153" s="8">
        <f>+[1]Maintenance!D9</f>
        <v>500</v>
      </c>
      <c r="G153" s="8">
        <f>+[1]Maintenance!E9</f>
        <v>500</v>
      </c>
      <c r="H153" s="8">
        <f>+[1]Maintenance!F9</f>
        <v>500</v>
      </c>
      <c r="I153" s="8">
        <f>+[1]Maintenance!G9</f>
        <v>500</v>
      </c>
    </row>
    <row r="154" spans="1:9" x14ac:dyDescent="0.3">
      <c r="A154" s="7" t="s">
        <v>141</v>
      </c>
      <c r="B154" s="8">
        <v>1278</v>
      </c>
      <c r="C154" s="8">
        <v>2000</v>
      </c>
      <c r="D154" s="8">
        <f>+'[1]Budget by Month'!O127</f>
        <v>1321</v>
      </c>
      <c r="E154" s="8">
        <f>+[1]Maintenance!C10</f>
        <v>1500</v>
      </c>
      <c r="F154" s="8">
        <f>+[1]Maintenance!D10</f>
        <v>1500</v>
      </c>
      <c r="G154" s="8">
        <f>+[1]Maintenance!E10</f>
        <v>1500</v>
      </c>
      <c r="H154" s="8">
        <f>+[1]Maintenance!F10</f>
        <v>1500</v>
      </c>
      <c r="I154" s="8">
        <f>+[1]Maintenance!G10</f>
        <v>1500</v>
      </c>
    </row>
    <row r="155" spans="1:9" x14ac:dyDescent="0.3">
      <c r="A155" s="7" t="s">
        <v>142</v>
      </c>
      <c r="B155" s="8">
        <v>119</v>
      </c>
      <c r="C155" s="8">
        <v>150</v>
      </c>
      <c r="D155" s="8">
        <f>+'[1]Budget by Month'!O128</f>
        <v>0</v>
      </c>
      <c r="E155" s="8">
        <f>+[1]Maintenance!C11</f>
        <v>0</v>
      </c>
      <c r="F155" s="8">
        <f>+[1]Maintenance!D11</f>
        <v>0</v>
      </c>
      <c r="G155" s="8">
        <f>+[1]Maintenance!E11</f>
        <v>0</v>
      </c>
      <c r="H155" s="8">
        <f>+[1]Maintenance!F11</f>
        <v>0</v>
      </c>
      <c r="I155" s="8">
        <f>+[1]Maintenance!G11</f>
        <v>0</v>
      </c>
    </row>
    <row r="156" spans="1:9" x14ac:dyDescent="0.3">
      <c r="A156" s="7" t="s">
        <v>143</v>
      </c>
      <c r="B156" s="8">
        <v>2459</v>
      </c>
      <c r="C156" s="8">
        <v>1800</v>
      </c>
      <c r="D156" s="8">
        <f>+'[1]Budget by Month'!O129</f>
        <v>851</v>
      </c>
      <c r="E156" s="8">
        <f>+[1]Maintenance!C12</f>
        <v>1200</v>
      </c>
      <c r="F156" s="8">
        <f>+[1]Maintenance!D12</f>
        <v>1200</v>
      </c>
      <c r="G156" s="8">
        <f>+[1]Maintenance!E12</f>
        <v>1200</v>
      </c>
      <c r="H156" s="8">
        <f>+[1]Maintenance!F12</f>
        <v>1200</v>
      </c>
      <c r="I156" s="8">
        <f>+[1]Maintenance!G12</f>
        <v>1200</v>
      </c>
    </row>
    <row r="157" spans="1:9" x14ac:dyDescent="0.3">
      <c r="A157" s="7" t="s">
        <v>144</v>
      </c>
      <c r="B157" s="8">
        <v>3139</v>
      </c>
      <c r="C157" s="8">
        <v>6500</v>
      </c>
      <c r="D157" s="8">
        <f>+'[1]Budget by Month'!O130</f>
        <v>6500</v>
      </c>
      <c r="E157" s="8">
        <f>+[1]Maintenance!C13</f>
        <v>6500</v>
      </c>
      <c r="F157" s="8">
        <f>+[1]Maintenance!D13</f>
        <v>6500</v>
      </c>
      <c r="G157" s="8">
        <f>+[1]Maintenance!E13</f>
        <v>6500</v>
      </c>
      <c r="H157" s="8">
        <f>+[1]Maintenance!F13</f>
        <v>6500</v>
      </c>
      <c r="I157" s="8">
        <f>+[1]Maintenance!G13</f>
        <v>6500</v>
      </c>
    </row>
    <row r="158" spans="1:9" x14ac:dyDescent="0.3">
      <c r="A158" s="7" t="s">
        <v>145</v>
      </c>
      <c r="B158" s="8">
        <v>11736</v>
      </c>
      <c r="C158" s="8">
        <v>15000</v>
      </c>
      <c r="D158" s="8">
        <f>+'[1]Budget by Month'!O131</f>
        <v>14624</v>
      </c>
      <c r="E158" s="8">
        <f>+[1]Maintenance!C14</f>
        <v>15000</v>
      </c>
      <c r="F158" s="8">
        <f>+[1]Maintenance!D14</f>
        <v>15000</v>
      </c>
      <c r="G158" s="8">
        <f>+[1]Maintenance!E14</f>
        <v>15000</v>
      </c>
      <c r="H158" s="8">
        <f>+[1]Maintenance!F14</f>
        <v>15000</v>
      </c>
      <c r="I158" s="8">
        <f>+[1]Maintenance!G14</f>
        <v>15000</v>
      </c>
    </row>
    <row r="159" spans="1:9" x14ac:dyDescent="0.3">
      <c r="A159" s="7" t="s">
        <v>146</v>
      </c>
      <c r="B159" s="8">
        <f>86567+77</f>
        <v>86644</v>
      </c>
      <c r="C159" s="8">
        <v>75000</v>
      </c>
      <c r="D159" s="8">
        <f>+'[1]Budget by Month'!O132</f>
        <v>78788.333333333328</v>
      </c>
      <c r="E159" s="8">
        <f>+[1]Maintenance!C16</f>
        <v>55000</v>
      </c>
      <c r="F159" s="8">
        <f>+[1]Maintenance!D16</f>
        <v>60000</v>
      </c>
      <c r="G159" s="8">
        <f>+[1]Maintenance!E16</f>
        <v>65000</v>
      </c>
      <c r="H159" s="8">
        <f>+[1]Maintenance!F16</f>
        <v>70000</v>
      </c>
      <c r="I159" s="8">
        <f>+[1]Maintenance!G16</f>
        <v>75000</v>
      </c>
    </row>
    <row r="160" spans="1:9" x14ac:dyDescent="0.3">
      <c r="A160" s="7" t="s">
        <v>147</v>
      </c>
      <c r="B160" s="8">
        <v>75624</v>
      </c>
      <c r="C160" s="8">
        <v>75000</v>
      </c>
      <c r="D160" s="8">
        <f>+'[1]Budget by Month'!O133-D161</f>
        <v>81397.333333333314</v>
      </c>
      <c r="E160" s="8">
        <f>+[1]Maintenance!C17</f>
        <v>55000</v>
      </c>
      <c r="F160" s="8">
        <f>+[1]Maintenance!D17</f>
        <v>60000</v>
      </c>
      <c r="G160" s="8">
        <f>+[1]Maintenance!E17</f>
        <v>65000</v>
      </c>
      <c r="H160" s="8">
        <f>+[1]Maintenance!F17</f>
        <v>70000</v>
      </c>
      <c r="I160" s="8">
        <f>+[1]Maintenance!G17</f>
        <v>75000</v>
      </c>
    </row>
    <row r="161" spans="1:9" x14ac:dyDescent="0.3">
      <c r="A161" s="7" t="s">
        <v>148</v>
      </c>
      <c r="B161" s="8">
        <v>0</v>
      </c>
      <c r="C161" s="8">
        <v>0</v>
      </c>
      <c r="D161" s="8">
        <v>4000</v>
      </c>
      <c r="E161" s="8"/>
      <c r="F161" s="8"/>
      <c r="G161" s="8"/>
      <c r="H161" s="8"/>
      <c r="I161" s="8"/>
    </row>
    <row r="162" spans="1:9" x14ac:dyDescent="0.3">
      <c r="A162" s="7" t="s">
        <v>149</v>
      </c>
      <c r="B162" s="8">
        <v>35777</v>
      </c>
      <c r="C162" s="8">
        <v>60000</v>
      </c>
      <c r="D162" s="8">
        <f>+'[1]Budget by Month'!O134</f>
        <v>32428</v>
      </c>
      <c r="E162" s="8">
        <f>+[1]Maintenance!C19</f>
        <v>36000</v>
      </c>
      <c r="F162" s="8">
        <f>+[1]Maintenance!D19</f>
        <v>36000</v>
      </c>
      <c r="G162" s="8">
        <f>+[1]Maintenance!E19</f>
        <v>38000</v>
      </c>
      <c r="H162" s="8">
        <f>+[1]Maintenance!F19</f>
        <v>38000</v>
      </c>
      <c r="I162" s="8">
        <f>+[1]Maintenance!G19</f>
        <v>40000</v>
      </c>
    </row>
    <row r="163" spans="1:9" x14ac:dyDescent="0.3">
      <c r="A163" s="5" t="s">
        <v>150</v>
      </c>
      <c r="B163" s="11">
        <f t="shared" ref="B163:C163" si="21">SUM(B147:B162)</f>
        <v>283298</v>
      </c>
      <c r="C163" s="11">
        <f t="shared" si="21"/>
        <v>314950</v>
      </c>
      <c r="D163" s="11">
        <f t="shared" ref="D163:I163" si="22">SUM(D147:D162)</f>
        <v>309033</v>
      </c>
      <c r="E163" s="11">
        <f t="shared" si="22"/>
        <v>252860</v>
      </c>
      <c r="F163" s="11">
        <f t="shared" si="22"/>
        <v>264439.8</v>
      </c>
      <c r="G163" s="11">
        <f t="shared" si="22"/>
        <v>278066.99400000001</v>
      </c>
      <c r="H163" s="11">
        <f t="shared" si="22"/>
        <v>289743.00381999998</v>
      </c>
      <c r="I163" s="11">
        <f t="shared" si="22"/>
        <v>303469.29393459996</v>
      </c>
    </row>
    <row r="165" spans="1:9" x14ac:dyDescent="0.3">
      <c r="A165" s="5" t="s">
        <v>151</v>
      </c>
    </row>
    <row r="166" spans="1:9" x14ac:dyDescent="0.3">
      <c r="A166" s="7" t="s">
        <v>152</v>
      </c>
      <c r="B166" s="8">
        <f>-367376-1165</f>
        <v>-368541</v>
      </c>
      <c r="C166" s="8">
        <v>-380000</v>
      </c>
      <c r="D166" s="8">
        <f>+'[1]SL and DL'!B3</f>
        <v>-409474</v>
      </c>
      <c r="E166" s="8">
        <f>+'[1]SL and DL'!C3</f>
        <v>-515000</v>
      </c>
      <c r="F166" s="8">
        <f>+'[1]SL and DL'!D3</f>
        <v>-520150</v>
      </c>
      <c r="G166" s="8">
        <f>+'[1]SL and DL'!E3</f>
        <v>-525351.5</v>
      </c>
      <c r="H166" s="8">
        <f>+'[1]SL and DL'!F3</f>
        <v>-530605.01500000001</v>
      </c>
      <c r="I166" s="8">
        <f>+'[1]SL and DL'!G3</f>
        <v>-535911.06515000004</v>
      </c>
    </row>
    <row r="167" spans="1:9" x14ac:dyDescent="0.3">
      <c r="A167" s="7" t="s">
        <v>153</v>
      </c>
      <c r="B167" s="8">
        <v>-6350</v>
      </c>
      <c r="C167" s="8">
        <v>0</v>
      </c>
      <c r="D167" s="8">
        <f>+'[1]SL and DL'!B4</f>
        <v>-4876</v>
      </c>
      <c r="E167" s="8">
        <f>-[1]Revenues!F73</f>
        <v>-12000</v>
      </c>
      <c r="F167" s="8">
        <f>-[1]Revenues!H73</f>
        <v>-12000</v>
      </c>
      <c r="G167" s="8">
        <f>-[1]Revenues!J73</f>
        <v>-12000</v>
      </c>
      <c r="H167" s="8">
        <f>-[1]Revenues!L73</f>
        <v>-12000</v>
      </c>
      <c r="I167" s="8">
        <f>-[1]Revenues!N73</f>
        <v>-12000</v>
      </c>
    </row>
    <row r="168" spans="1:9" x14ac:dyDescent="0.3">
      <c r="A168" s="7" t="s">
        <v>154</v>
      </c>
      <c r="B168" s="8">
        <v>0</v>
      </c>
      <c r="C168" s="8">
        <v>0</v>
      </c>
      <c r="D168" s="8">
        <f>+'[1]SL and DL'!B5</f>
        <v>-1560</v>
      </c>
      <c r="E168" s="8">
        <f>-[1]Revenues!F72</f>
        <v>-24000</v>
      </c>
      <c r="F168" s="8">
        <f>-[1]Revenues!H72</f>
        <v>-27000</v>
      </c>
      <c r="G168" s="8">
        <f>-[1]Revenues!J72</f>
        <v>-30000</v>
      </c>
      <c r="H168" s="8">
        <f>-[1]Revenues!L72</f>
        <v>-33000</v>
      </c>
      <c r="I168" s="8">
        <f>-[1]Revenues!N72</f>
        <v>-36000</v>
      </c>
    </row>
    <row r="169" spans="1:9" x14ac:dyDescent="0.3">
      <c r="A169" s="7" t="s">
        <v>155</v>
      </c>
      <c r="B169" s="13">
        <f t="shared" ref="B169:I169" si="23">SUM(B166:B168)</f>
        <v>-374891</v>
      </c>
      <c r="C169" s="13">
        <f t="shared" si="23"/>
        <v>-380000</v>
      </c>
      <c r="D169" s="13">
        <f t="shared" si="23"/>
        <v>-415910</v>
      </c>
      <c r="E169" s="13">
        <f t="shared" si="23"/>
        <v>-551000</v>
      </c>
      <c r="F169" s="13">
        <f t="shared" si="23"/>
        <v>-559150</v>
      </c>
      <c r="G169" s="13">
        <f t="shared" si="23"/>
        <v>-567351.5</v>
      </c>
      <c r="H169" s="13">
        <f t="shared" si="23"/>
        <v>-575605.01500000001</v>
      </c>
      <c r="I169" s="13">
        <f t="shared" si="23"/>
        <v>-583911.06515000004</v>
      </c>
    </row>
    <row r="170" spans="1:9" x14ac:dyDescent="0.3">
      <c r="A170" s="7" t="s">
        <v>156</v>
      </c>
      <c r="B170" s="8">
        <v>336762</v>
      </c>
      <c r="C170" s="8">
        <v>340000</v>
      </c>
      <c r="D170" s="8">
        <f>+'[1]Budget by Month'!O140</f>
        <v>494662</v>
      </c>
      <c r="E170" s="8">
        <f>+[1]Staffing!J60</f>
        <v>459848.99999999994</v>
      </c>
      <c r="F170" s="8">
        <f>+[1]Staffing!N60</f>
        <v>469045.98</v>
      </c>
      <c r="G170" s="8">
        <f>+[1]Staffing!R60</f>
        <v>478426.8996</v>
      </c>
      <c r="H170" s="8">
        <f>+[1]Staffing!V60</f>
        <v>487995.437592</v>
      </c>
      <c r="I170" s="8">
        <f>+[1]Staffing!Z60</f>
        <v>497755.34634384001</v>
      </c>
    </row>
    <row r="171" spans="1:9" x14ac:dyDescent="0.3">
      <c r="A171" s="7" t="s">
        <v>157</v>
      </c>
      <c r="B171" s="8">
        <v>6567</v>
      </c>
      <c r="C171" s="8">
        <v>0</v>
      </c>
      <c r="D171" s="8">
        <f>+'[1]Budget by Month'!O141</f>
        <v>3598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</row>
    <row r="172" spans="1:9" x14ac:dyDescent="0.3">
      <c r="A172" s="7" t="s">
        <v>158</v>
      </c>
      <c r="B172" s="8">
        <v>0</v>
      </c>
      <c r="C172" s="8">
        <v>0</v>
      </c>
      <c r="D172" s="8">
        <f>+'[1]Budget by Month'!O142</f>
        <v>1310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</row>
    <row r="173" spans="1:9" x14ac:dyDescent="0.3">
      <c r="A173" s="7" t="s">
        <v>159</v>
      </c>
      <c r="B173" s="8">
        <v>0</v>
      </c>
      <c r="C173" s="8">
        <v>0</v>
      </c>
      <c r="D173" s="8">
        <f>+'[1]Budget by Month'!O143</f>
        <v>68814</v>
      </c>
      <c r="E173" s="8">
        <f>+[1]Staffing!J62+[1]Staffing!J59</f>
        <v>203242.38480000006</v>
      </c>
      <c r="F173" s="8">
        <f>+[1]Staffing!N62+[1]Staffing!N59</f>
        <v>207307.23249600001</v>
      </c>
      <c r="G173" s="8">
        <f>+[1]Staffing!R62+[1]Staffing!R59</f>
        <v>211453.37714592004</v>
      </c>
      <c r="H173" s="8">
        <f>+[1]Staffing!V62+[1]Staffing!V59</f>
        <v>215682.44468883844</v>
      </c>
      <c r="I173" s="8">
        <f>+[1]Staffing!Z62+[1]Staffing!Z59</f>
        <v>219996.0935826152</v>
      </c>
    </row>
    <row r="174" spans="1:9" x14ac:dyDescent="0.3">
      <c r="A174" s="7" t="s">
        <v>160</v>
      </c>
      <c r="B174" s="8">
        <v>7135</v>
      </c>
      <c r="C174" s="8">
        <v>7367</v>
      </c>
      <c r="D174" s="8">
        <f>+'[1]Budget by Month'!O145</f>
        <v>12086</v>
      </c>
      <c r="E174" s="8">
        <f>+[1]Staffing!J63</f>
        <v>15348.007039080576</v>
      </c>
      <c r="F174" s="8">
        <f>+[1]Staffing!N63</f>
        <v>15948.308081159999</v>
      </c>
      <c r="G174" s="8">
        <f>+[1]Staffing!R63</f>
        <v>16819.149941156156</v>
      </c>
      <c r="H174" s="8">
        <f>+[1]Staffing!V63</f>
        <v>17155.532939979283</v>
      </c>
      <c r="I174" s="8">
        <f>+[1]Staffing!Z63</f>
        <v>17498.643598778868</v>
      </c>
    </row>
    <row r="175" spans="1:9" x14ac:dyDescent="0.3">
      <c r="A175" s="7" t="s">
        <v>161</v>
      </c>
      <c r="B175" s="8">
        <v>14758</v>
      </c>
      <c r="C175" s="8">
        <v>14733</v>
      </c>
      <c r="D175" s="8">
        <f>+'[1]Budget by Month'!O144</f>
        <v>26894</v>
      </c>
      <c r="E175" s="8">
        <f>+[1]Staffing!J64</f>
        <v>37090.064433600004</v>
      </c>
      <c r="F175" s="8">
        <f>+[1]Staffing!N64</f>
        <v>42174.414703511997</v>
      </c>
      <c r="G175" s="8">
        <f>+[1]Staffing!R64</f>
        <v>43510.40963038223</v>
      </c>
      <c r="H175" s="8">
        <f>+[1]Staffing!V64</f>
        <v>44380.617822989887</v>
      </c>
      <c r="I175" s="8">
        <f>+[1]Staffing!Z64</f>
        <v>45268.230179449682</v>
      </c>
    </row>
    <row r="176" spans="1:9" x14ac:dyDescent="0.3">
      <c r="A176" s="7" t="s">
        <v>162</v>
      </c>
      <c r="B176" s="8">
        <v>2483</v>
      </c>
      <c r="C176" s="8">
        <v>10046</v>
      </c>
      <c r="D176" s="8">
        <f>+'[1]Budget by Month'!O146</f>
        <v>12515</v>
      </c>
      <c r="E176" s="8">
        <f>+[1]Staffing!J65</f>
        <v>10401.472248960001</v>
      </c>
      <c r="F176" s="8">
        <f>+[1]Staffing!N65</f>
        <v>10773.9681259392</v>
      </c>
      <c r="G176" s="8">
        <f>+[1]Staffing!R65</f>
        <v>11115.264308937984</v>
      </c>
      <c r="H176" s="8">
        <f>+[1]Staffing!V65</f>
        <v>11337.569595116745</v>
      </c>
      <c r="I176" s="8">
        <f>+[1]Staffing!Z65</f>
        <v>11564.320987019079</v>
      </c>
    </row>
    <row r="177" spans="1:9" x14ac:dyDescent="0.3">
      <c r="A177" s="7" t="s">
        <v>163</v>
      </c>
      <c r="B177" s="8">
        <v>13527</v>
      </c>
      <c r="C177" s="8">
        <v>15068</v>
      </c>
      <c r="D177" s="8">
        <f>+'[1]Budget by Month'!O147</f>
        <v>16488</v>
      </c>
      <c r="E177" s="8">
        <f>+[1]Staffing!J66</f>
        <v>23950.758468000004</v>
      </c>
      <c r="F177" s="8">
        <f>+[1]Staffing!N66</f>
        <v>24808.479237360003</v>
      </c>
      <c r="G177" s="8">
        <f>+[1]Staffing!R66</f>
        <v>25594.358606107198</v>
      </c>
      <c r="H177" s="8">
        <f>+[1]Staffing!V66</f>
        <v>26106.24577822935</v>
      </c>
      <c r="I177" s="8">
        <f>+[1]Staffing!Z66</f>
        <v>34236.476606306482</v>
      </c>
    </row>
    <row r="178" spans="1:9" x14ac:dyDescent="0.3">
      <c r="A178" s="7" t="s">
        <v>164</v>
      </c>
      <c r="B178" s="8">
        <v>9079</v>
      </c>
      <c r="C178" s="8">
        <v>5023</v>
      </c>
      <c r="D178" s="8">
        <f>+'[1]Budget by Month'!O148</f>
        <v>8733</v>
      </c>
      <c r="E178" s="8">
        <f>+[1]Staffing!J67</f>
        <v>13686.147696</v>
      </c>
      <c r="F178" s="8">
        <f>+[1]Staffing!N67</f>
        <v>14176.27384992</v>
      </c>
      <c r="G178" s="8">
        <f>+[1]Staffing!R67</f>
        <v>16453.516246783198</v>
      </c>
      <c r="H178" s="8">
        <f>+[1]Staffing!V67</f>
        <v>18647.318413020963</v>
      </c>
      <c r="I178" s="8">
        <f>+[1]Staffing!Z67</f>
        <v>20922.291259409518</v>
      </c>
    </row>
    <row r="179" spans="1:9" x14ac:dyDescent="0.3">
      <c r="A179" s="7" t="s">
        <v>165</v>
      </c>
      <c r="B179" s="8">
        <v>1393</v>
      </c>
      <c r="C179" s="8">
        <v>1800</v>
      </c>
      <c r="D179" s="8">
        <f>+'[1]Budget by Month'!O149</f>
        <v>1739</v>
      </c>
      <c r="E179" s="8">
        <v>1800</v>
      </c>
      <c r="F179" s="8">
        <v>1800</v>
      </c>
      <c r="G179" s="8">
        <v>1800</v>
      </c>
      <c r="H179" s="8">
        <v>1800</v>
      </c>
      <c r="I179" s="8">
        <v>1800</v>
      </c>
    </row>
    <row r="180" spans="1:9" x14ac:dyDescent="0.3">
      <c r="A180" s="7" t="s">
        <v>166</v>
      </c>
      <c r="B180" s="8">
        <v>16175</v>
      </c>
      <c r="C180" s="8">
        <v>3000</v>
      </c>
      <c r="D180" s="8">
        <f>+'[1]Budget by Month'!O150-D181</f>
        <v>2447</v>
      </c>
      <c r="E180" s="8">
        <v>3000</v>
      </c>
      <c r="F180" s="8">
        <v>3000</v>
      </c>
      <c r="G180" s="8">
        <v>3000</v>
      </c>
      <c r="H180" s="8">
        <v>3000</v>
      </c>
      <c r="I180" s="8">
        <v>3000</v>
      </c>
    </row>
    <row r="181" spans="1:9" x14ac:dyDescent="0.3">
      <c r="A181" s="7" t="s">
        <v>167</v>
      </c>
      <c r="B181" s="8">
        <v>0</v>
      </c>
      <c r="C181" s="8">
        <v>0</v>
      </c>
      <c r="D181" s="8">
        <v>40000</v>
      </c>
      <c r="E181" s="8"/>
      <c r="F181" s="8"/>
      <c r="G181" s="8"/>
      <c r="H181" s="8"/>
      <c r="I181" s="8"/>
    </row>
    <row r="182" spans="1:9" x14ac:dyDescent="0.3">
      <c r="A182" s="7" t="s">
        <v>168</v>
      </c>
      <c r="B182" s="8">
        <v>1238</v>
      </c>
      <c r="C182" s="8">
        <v>900</v>
      </c>
      <c r="D182" s="8">
        <f>+'[1]Budget by Month'!O151</f>
        <v>2682</v>
      </c>
      <c r="E182" s="8">
        <v>900</v>
      </c>
      <c r="F182" s="8">
        <v>900</v>
      </c>
      <c r="G182" s="8">
        <v>900</v>
      </c>
      <c r="H182" s="8">
        <v>900</v>
      </c>
      <c r="I182" s="8">
        <v>900</v>
      </c>
    </row>
    <row r="183" spans="1:9" x14ac:dyDescent="0.3">
      <c r="A183" s="7" t="s">
        <v>169</v>
      </c>
      <c r="B183" s="8">
        <v>1598</v>
      </c>
      <c r="C183" s="8">
        <v>1000</v>
      </c>
      <c r="D183" s="8">
        <f>+'[1]Budget by Month'!O152</f>
        <v>794</v>
      </c>
      <c r="E183" s="8">
        <v>1000</v>
      </c>
      <c r="F183" s="8">
        <v>1000</v>
      </c>
      <c r="G183" s="8">
        <v>1000</v>
      </c>
      <c r="H183" s="8">
        <v>1000</v>
      </c>
      <c r="I183" s="8">
        <v>1000</v>
      </c>
    </row>
    <row r="184" spans="1:9" x14ac:dyDescent="0.3">
      <c r="A184" s="7" t="s">
        <v>170</v>
      </c>
      <c r="B184" s="8">
        <v>190</v>
      </c>
      <c r="C184" s="8">
        <v>500</v>
      </c>
      <c r="D184" s="8">
        <f>+'[1]Budget by Month'!O153</f>
        <v>880</v>
      </c>
      <c r="E184" s="8">
        <v>500</v>
      </c>
      <c r="F184" s="8">
        <v>500</v>
      </c>
      <c r="G184" s="8">
        <v>500</v>
      </c>
      <c r="H184" s="8">
        <v>500</v>
      </c>
      <c r="I184" s="8">
        <v>500</v>
      </c>
    </row>
    <row r="185" spans="1:9" x14ac:dyDescent="0.3">
      <c r="A185" s="7" t="s">
        <v>171</v>
      </c>
      <c r="B185" s="11">
        <f t="shared" ref="B185:C185" si="24">SUM(B170:B184)</f>
        <v>410905</v>
      </c>
      <c r="C185" s="11">
        <f t="shared" si="24"/>
        <v>399437</v>
      </c>
      <c r="D185" s="11">
        <f t="shared" ref="D185:I185" si="25">SUM(D170:D184)</f>
        <v>693642</v>
      </c>
      <c r="E185" s="11">
        <f t="shared" si="25"/>
        <v>770767.83468564064</v>
      </c>
      <c r="F185" s="11">
        <f t="shared" si="25"/>
        <v>791434.65649389115</v>
      </c>
      <c r="G185" s="11">
        <f t="shared" si="25"/>
        <v>810572.97547928675</v>
      </c>
      <c r="H185" s="11">
        <f t="shared" si="25"/>
        <v>828505.16683017474</v>
      </c>
      <c r="I185" s="11">
        <f t="shared" si="25"/>
        <v>854441.40255741891</v>
      </c>
    </row>
    <row r="186" spans="1:9" x14ac:dyDescent="0.3">
      <c r="A186" s="5" t="s">
        <v>172</v>
      </c>
      <c r="B186" s="11">
        <f t="shared" ref="B186:I186" si="26">+B185+B169</f>
        <v>36014</v>
      </c>
      <c r="C186" s="11">
        <f t="shared" si="26"/>
        <v>19437</v>
      </c>
      <c r="D186" s="11">
        <f t="shared" si="26"/>
        <v>277732</v>
      </c>
      <c r="E186" s="11">
        <f t="shared" si="26"/>
        <v>219767.83468564064</v>
      </c>
      <c r="F186" s="11">
        <f t="shared" si="26"/>
        <v>232284.65649389115</v>
      </c>
      <c r="G186" s="11">
        <f t="shared" si="26"/>
        <v>243221.47547928675</v>
      </c>
      <c r="H186" s="11">
        <f t="shared" si="26"/>
        <v>252900.15183017473</v>
      </c>
      <c r="I186" s="11">
        <f t="shared" si="26"/>
        <v>270530.33740741888</v>
      </c>
    </row>
    <row r="188" spans="1:9" x14ac:dyDescent="0.3">
      <c r="A188" s="5" t="s">
        <v>173</v>
      </c>
    </row>
    <row r="189" spans="1:9" x14ac:dyDescent="0.3">
      <c r="A189" s="7" t="s">
        <v>174</v>
      </c>
      <c r="B189" s="8">
        <v>-524961</v>
      </c>
      <c r="C189" s="8">
        <v>-525000</v>
      </c>
      <c r="D189" s="8">
        <f>+'[1]Budget by Month'!O155</f>
        <v>-392715</v>
      </c>
      <c r="E189" s="8"/>
      <c r="F189" s="8"/>
      <c r="G189" s="8"/>
      <c r="H189" s="8"/>
      <c r="I189" s="8"/>
    </row>
    <row r="190" spans="1:9" x14ac:dyDescent="0.3">
      <c r="A190" s="7" t="s">
        <v>175</v>
      </c>
      <c r="B190" s="8">
        <v>385461</v>
      </c>
      <c r="C190" s="8">
        <v>410000</v>
      </c>
      <c r="D190" s="8">
        <f>+'[1]Budget by Month'!O156</f>
        <v>307367</v>
      </c>
      <c r="E190" s="8"/>
      <c r="F190" s="8"/>
      <c r="G190" s="8"/>
      <c r="H190" s="8"/>
      <c r="I190" s="8"/>
    </row>
    <row r="191" spans="1:9" x14ac:dyDescent="0.3">
      <c r="A191" s="7" t="s">
        <v>176</v>
      </c>
      <c r="B191" s="8">
        <v>7498</v>
      </c>
      <c r="C191" s="8">
        <v>8707</v>
      </c>
      <c r="D191" s="8">
        <f>+'[1]Budget by Month'!O158</f>
        <v>6747</v>
      </c>
      <c r="E191" s="8"/>
      <c r="F191" s="8"/>
      <c r="G191" s="8"/>
      <c r="H191" s="8"/>
      <c r="I191" s="8"/>
    </row>
    <row r="192" spans="1:9" x14ac:dyDescent="0.3">
      <c r="A192" s="7" t="s">
        <v>177</v>
      </c>
      <c r="B192" s="8">
        <v>17480</v>
      </c>
      <c r="C192" s="8">
        <v>17414</v>
      </c>
      <c r="D192" s="8">
        <f>+'[1]Budget by Month'!O157</f>
        <v>16322</v>
      </c>
      <c r="E192" s="8"/>
      <c r="F192" s="8"/>
      <c r="G192" s="8"/>
      <c r="H192" s="8"/>
      <c r="I192" s="8"/>
    </row>
    <row r="193" spans="1:9" x14ac:dyDescent="0.3">
      <c r="A193" s="7" t="s">
        <v>178</v>
      </c>
      <c r="B193" s="8">
        <v>2906</v>
      </c>
      <c r="C193" s="8">
        <v>11873</v>
      </c>
      <c r="D193" s="8">
        <f>+'[1]Budget by Month'!O159</f>
        <v>6908</v>
      </c>
      <c r="E193" s="8"/>
      <c r="F193" s="8"/>
      <c r="G193" s="8"/>
      <c r="H193" s="8"/>
      <c r="I193" s="8"/>
    </row>
    <row r="194" spans="1:9" x14ac:dyDescent="0.3">
      <c r="A194" s="7" t="s">
        <v>179</v>
      </c>
      <c r="B194" s="8">
        <v>7391</v>
      </c>
      <c r="C194" s="8">
        <v>17809</v>
      </c>
      <c r="D194" s="8">
        <f>+'[1]Budget by Month'!O160</f>
        <v>6305</v>
      </c>
      <c r="E194" s="8"/>
      <c r="F194" s="8"/>
      <c r="G194" s="8"/>
      <c r="H194" s="8"/>
      <c r="I194" s="8"/>
    </row>
    <row r="195" spans="1:9" x14ac:dyDescent="0.3">
      <c r="A195" s="7" t="s">
        <v>180</v>
      </c>
      <c r="B195" s="8">
        <v>8743</v>
      </c>
      <c r="C195" s="8">
        <v>5936</v>
      </c>
      <c r="D195" s="8">
        <f>+'[1]Budget by Month'!O161</f>
        <v>4848</v>
      </c>
      <c r="E195" s="8"/>
      <c r="F195" s="8"/>
      <c r="G195" s="8"/>
      <c r="H195" s="8"/>
      <c r="I195" s="8"/>
    </row>
    <row r="196" spans="1:9" x14ac:dyDescent="0.3">
      <c r="A196" s="7" t="s">
        <v>181</v>
      </c>
      <c r="B196" s="8">
        <v>2234</v>
      </c>
      <c r="C196" s="8">
        <v>750</v>
      </c>
      <c r="D196" s="8">
        <f>+'[1]Budget by Month'!O162</f>
        <v>3592</v>
      </c>
      <c r="E196" s="8"/>
      <c r="F196" s="8"/>
      <c r="G196" s="8"/>
      <c r="H196" s="8"/>
      <c r="I196" s="8"/>
    </row>
    <row r="197" spans="1:9" x14ac:dyDescent="0.3">
      <c r="A197" s="7" t="s">
        <v>182</v>
      </c>
      <c r="B197" s="8">
        <v>5452</v>
      </c>
      <c r="C197" s="8">
        <v>6500</v>
      </c>
      <c r="D197" s="8">
        <f>+'[1]Budget by Month'!O163</f>
        <v>2777</v>
      </c>
      <c r="E197" s="8"/>
      <c r="F197" s="8"/>
      <c r="G197" s="8"/>
      <c r="H197" s="8"/>
      <c r="I197" s="8"/>
    </row>
    <row r="198" spans="1:9" x14ac:dyDescent="0.3">
      <c r="A198" s="7" t="s">
        <v>183</v>
      </c>
      <c r="B198" s="8">
        <v>1572</v>
      </c>
      <c r="C198" s="8">
        <v>2000</v>
      </c>
      <c r="D198" s="8">
        <f>+'[1]Budget by Month'!O164</f>
        <v>1104</v>
      </c>
      <c r="E198" s="8"/>
      <c r="F198" s="8"/>
      <c r="G198" s="8"/>
      <c r="H198" s="8"/>
      <c r="I198" s="8"/>
    </row>
    <row r="199" spans="1:9" x14ac:dyDescent="0.3">
      <c r="A199" s="7" t="s">
        <v>184</v>
      </c>
      <c r="B199" s="8">
        <v>0</v>
      </c>
      <c r="C199" s="8">
        <v>1200</v>
      </c>
      <c r="D199" s="8">
        <f>+'[1]Budget by Month'!O165</f>
        <v>400</v>
      </c>
      <c r="E199" s="8"/>
      <c r="F199" s="8"/>
      <c r="G199" s="8"/>
      <c r="H199" s="8"/>
      <c r="I199" s="8"/>
    </row>
    <row r="200" spans="1:9" x14ac:dyDescent="0.3">
      <c r="A200" s="7" t="s">
        <v>185</v>
      </c>
      <c r="B200" s="11">
        <f t="shared" ref="B200:I200" si="27">SUM(B190:B199)</f>
        <v>438737</v>
      </c>
      <c r="C200" s="11">
        <f t="shared" si="27"/>
        <v>482189</v>
      </c>
      <c r="D200" s="11">
        <f t="shared" si="27"/>
        <v>356370</v>
      </c>
      <c r="E200" s="11">
        <f t="shared" si="27"/>
        <v>0</v>
      </c>
      <c r="F200" s="11">
        <f t="shared" si="27"/>
        <v>0</v>
      </c>
      <c r="G200" s="11">
        <f t="shared" si="27"/>
        <v>0</v>
      </c>
      <c r="H200" s="11">
        <f t="shared" si="27"/>
        <v>0</v>
      </c>
      <c r="I200" s="11">
        <f t="shared" si="27"/>
        <v>0</v>
      </c>
    </row>
    <row r="201" spans="1:9" x14ac:dyDescent="0.3">
      <c r="A201" s="5" t="s">
        <v>186</v>
      </c>
      <c r="B201" s="11">
        <f t="shared" ref="B201:I201" si="28">+B189+B200</f>
        <v>-86224</v>
      </c>
      <c r="C201" s="11">
        <f t="shared" si="28"/>
        <v>-42811</v>
      </c>
      <c r="D201" s="11">
        <f t="shared" si="28"/>
        <v>-36345</v>
      </c>
      <c r="E201" s="11">
        <f t="shared" si="28"/>
        <v>0</v>
      </c>
      <c r="F201" s="11">
        <f t="shared" si="28"/>
        <v>0</v>
      </c>
      <c r="G201" s="11">
        <f t="shared" si="28"/>
        <v>0</v>
      </c>
      <c r="H201" s="11">
        <f t="shared" si="28"/>
        <v>0</v>
      </c>
      <c r="I201" s="11">
        <f t="shared" si="28"/>
        <v>0</v>
      </c>
    </row>
    <row r="203" spans="1:9" x14ac:dyDescent="0.3">
      <c r="A203" s="5" t="s">
        <v>187</v>
      </c>
      <c r="B203" s="10">
        <f>+B201+B186+B163+B144+B136+B129+B109+B69+B47+B119</f>
        <v>4050174</v>
      </c>
      <c r="C203" s="10">
        <f>+C201+C186+C163+C144+C136+C129+C109+C69+C47+C119</f>
        <v>4571020</v>
      </c>
      <c r="D203" s="10">
        <f>+D201+D186+D163+D144+D136+D129+D109+D69+D47+D119</f>
        <v>4992757.9163309885</v>
      </c>
      <c r="E203" s="10">
        <f>+E201+E186+E163+E144+E136+E129+E109+E69+E47</f>
        <v>4661810.0131817721</v>
      </c>
      <c r="F203" s="10">
        <f>+F201+F186+F163+F144+F136+F129+F109+F69+F47</f>
        <v>4769044.9859978817</v>
      </c>
      <c r="G203" s="10">
        <f>+G201+G186+G163+G144+G136+G129+G109+G69+G47</f>
        <v>4846298.8521347838</v>
      </c>
      <c r="H203" s="10">
        <f>+H201+H186+H163+H144+H136+H129+H109+H69+H47</f>
        <v>4901776.2192122256</v>
      </c>
      <c r="I203" s="10">
        <f>+I201+I186+I163+I144+I136+I129+I109+I69+I47</f>
        <v>4954975.3677951749</v>
      </c>
    </row>
    <row r="205" spans="1:9" s="17" customFormat="1" ht="15" thickBot="1" x14ac:dyDescent="0.35">
      <c r="A205" s="5" t="s">
        <v>188</v>
      </c>
      <c r="B205" s="16">
        <f>+B33-B47-B69-B109-B119-B129-B136-B144-B163-B186-B201</f>
        <v>-122260</v>
      </c>
      <c r="C205" s="16">
        <f>+C33-C47-C69-C109-C119-C129-C136-C144-C163-C186-C201</f>
        <v>217438</v>
      </c>
      <c r="D205" s="16">
        <f>+D33-D47-D69-D109-D119-D129-D136-D144-D163-D186-D201</f>
        <v>6561421.8903356791</v>
      </c>
      <c r="E205" s="16">
        <f>+E33-E47-E69-E109-E129-E136-E144-E163-E186-E201</f>
        <v>11821.186818228045</v>
      </c>
      <c r="F205" s="16">
        <f>+F33-F47-F69-F109-F129-F136-F144-F163-F186-F201</f>
        <v>53226.914002118923</v>
      </c>
      <c r="G205" s="16">
        <f>+G33-G47-G69-G109-G129-G136-G144-G163-G186-G201</f>
        <v>70200.64786521619</v>
      </c>
      <c r="H205" s="16">
        <f>+H33-H47-H69-H109-H129-H136-H144-H163-H186-H201</f>
        <v>152804.08078777441</v>
      </c>
      <c r="I205" s="16">
        <f>+I33-I47-I69-I109-I129-I136-I144-I163-I186-I201</f>
        <v>230937.53220482485</v>
      </c>
    </row>
    <row r="206" spans="1:9" ht="15" thickTop="1" x14ac:dyDescent="0.3"/>
    <row r="208" spans="1:9" x14ac:dyDescent="0.3">
      <c r="A208" s="7" t="s">
        <v>189</v>
      </c>
      <c r="B208" s="8"/>
      <c r="C208" s="8"/>
      <c r="D208" s="8"/>
      <c r="E208" s="8"/>
      <c r="F208" s="8"/>
      <c r="G208" s="8"/>
      <c r="H208" s="8"/>
      <c r="I208" s="8"/>
    </row>
    <row r="209" spans="1:9" x14ac:dyDescent="0.3">
      <c r="A209" s="7" t="s">
        <v>190</v>
      </c>
      <c r="B209" s="8">
        <f t="shared" ref="B209:I209" si="29">+B104+B103+B102</f>
        <v>490428</v>
      </c>
      <c r="C209" s="8">
        <f t="shared" si="29"/>
        <v>746267</v>
      </c>
      <c r="D209" s="8">
        <f t="shared" si="29"/>
        <v>753116.62169180426</v>
      </c>
      <c r="E209" s="8">
        <f t="shared" si="29"/>
        <v>733559.31592863251</v>
      </c>
      <c r="F209" s="8">
        <f t="shared" si="29"/>
        <v>710582.37757898157</v>
      </c>
      <c r="G209" s="8">
        <f t="shared" si="29"/>
        <v>689199.70305058593</v>
      </c>
      <c r="H209" s="8">
        <f t="shared" si="29"/>
        <v>663371.66969935875</v>
      </c>
      <c r="I209" s="8">
        <f t="shared" si="29"/>
        <v>638560.01039583387</v>
      </c>
    </row>
    <row r="210" spans="1:9" x14ac:dyDescent="0.3">
      <c r="A210" s="7" t="s">
        <v>191</v>
      </c>
      <c r="B210" s="8">
        <f t="shared" ref="B210:I210" si="30">+B106</f>
        <v>645015</v>
      </c>
      <c r="C210" s="8">
        <f t="shared" si="30"/>
        <v>860575</v>
      </c>
      <c r="D210" s="8">
        <f t="shared" si="30"/>
        <v>900948</v>
      </c>
      <c r="E210" s="8">
        <f t="shared" si="30"/>
        <v>878424.29999999993</v>
      </c>
      <c r="F210" s="8">
        <f t="shared" si="30"/>
        <v>856463.69249999989</v>
      </c>
      <c r="G210" s="8">
        <f t="shared" si="30"/>
        <v>835052.10018749989</v>
      </c>
      <c r="H210" s="8">
        <f t="shared" si="30"/>
        <v>814175.79768281232</v>
      </c>
      <c r="I210" s="8">
        <f t="shared" si="30"/>
        <v>793821.40274074196</v>
      </c>
    </row>
    <row r="211" spans="1:9" x14ac:dyDescent="0.3">
      <c r="A211" s="7"/>
      <c r="B211" s="8"/>
      <c r="C211" s="8"/>
      <c r="D211" s="8"/>
      <c r="E211" s="8"/>
      <c r="F211" s="8"/>
      <c r="G211" s="8"/>
      <c r="H211" s="8"/>
      <c r="I211" s="8"/>
    </row>
    <row r="212" spans="1:9" s="17" customFormat="1" x14ac:dyDescent="0.3">
      <c r="A212" s="5" t="s">
        <v>192</v>
      </c>
      <c r="B212" s="18">
        <f t="shared" ref="B212:C212" si="31">SUM(B205:B211)</f>
        <v>1013183</v>
      </c>
      <c r="C212" s="18">
        <f t="shared" si="31"/>
        <v>1824280</v>
      </c>
      <c r="D212" s="18">
        <f t="shared" ref="D212:I212" si="32">SUM(D205:D211)</f>
        <v>8215486.5120274834</v>
      </c>
      <c r="E212" s="18">
        <f t="shared" si="32"/>
        <v>1623804.8027468603</v>
      </c>
      <c r="F212" s="18">
        <f t="shared" si="32"/>
        <v>1620272.9840811004</v>
      </c>
      <c r="G212" s="18">
        <f t="shared" si="32"/>
        <v>1594452.4511033022</v>
      </c>
      <c r="H212" s="18">
        <f t="shared" si="32"/>
        <v>1630351.5481699454</v>
      </c>
      <c r="I212" s="18">
        <f t="shared" si="32"/>
        <v>1663318.9453414008</v>
      </c>
    </row>
    <row r="213" spans="1:9" x14ac:dyDescent="0.3">
      <c r="A213" s="7"/>
      <c r="B213" s="8"/>
      <c r="C213" s="8"/>
      <c r="D213" s="8"/>
      <c r="E213" s="8"/>
      <c r="F213" s="8"/>
      <c r="G213" s="8"/>
      <c r="H213" s="8"/>
      <c r="I213" s="8"/>
    </row>
    <row r="214" spans="1:9" x14ac:dyDescent="0.3">
      <c r="A214" s="7" t="s">
        <v>193</v>
      </c>
      <c r="B214" s="8"/>
      <c r="C214" s="8"/>
      <c r="D214" s="8"/>
      <c r="E214" s="8"/>
      <c r="F214" s="8"/>
      <c r="G214" s="8"/>
      <c r="H214" s="8"/>
      <c r="I214" s="8"/>
    </row>
    <row r="215" spans="1:9" x14ac:dyDescent="0.3">
      <c r="A215" s="7" t="s">
        <v>194</v>
      </c>
      <c r="B215" s="8">
        <v>218304</v>
      </c>
      <c r="C215" s="8">
        <v>218304</v>
      </c>
      <c r="D215" s="8">
        <v>217684</v>
      </c>
      <c r="E215" s="8">
        <v>217480</v>
      </c>
      <c r="F215" s="8">
        <v>217480</v>
      </c>
      <c r="G215" s="8">
        <v>217480</v>
      </c>
      <c r="H215" s="8">
        <v>217480</v>
      </c>
      <c r="I215" s="8">
        <v>217480</v>
      </c>
    </row>
    <row r="216" spans="1:9" x14ac:dyDescent="0.3">
      <c r="A216" s="7" t="s">
        <v>195</v>
      </c>
      <c r="B216" s="8">
        <f>280970+333312</f>
        <v>614282</v>
      </c>
      <c r="C216" s="8">
        <f>SUM([1]Mortgages!I27:I39)</f>
        <v>1333248</v>
      </c>
      <c r="D216" s="8">
        <f>SUM([1]Mortgages!I27:I39)</f>
        <v>1333248</v>
      </c>
      <c r="E216" s="8">
        <f>+SUM([1]Mortgages!I27:I39)-[1]Mortgages!I33</f>
        <v>1333248</v>
      </c>
      <c r="F216" s="8">
        <f>+SUM([1]Mortgages!I40:I52)-[1]Mortgages!I46</f>
        <v>1333248</v>
      </c>
      <c r="G216" s="8">
        <f>+SUM([1]Mortgages!I53:I64)</f>
        <v>1333248</v>
      </c>
      <c r="H216" s="8">
        <f>+SUM([1]Mortgages!I65:I76)</f>
        <v>1333248</v>
      </c>
      <c r="I216" s="8">
        <f>+SUM([1]Mortgages!I77:I88)</f>
        <v>1333248</v>
      </c>
    </row>
    <row r="217" spans="1:9" x14ac:dyDescent="0.3">
      <c r="A217" s="7"/>
      <c r="B217" s="8"/>
      <c r="C217" s="8"/>
      <c r="D217" s="8"/>
      <c r="E217" s="8"/>
      <c r="F217" s="8"/>
      <c r="G217" s="8"/>
      <c r="H217" s="8"/>
      <c r="I217" s="8"/>
    </row>
    <row r="218" spans="1:9" s="17" customFormat="1" x14ac:dyDescent="0.3">
      <c r="A218" s="5" t="s">
        <v>196</v>
      </c>
      <c r="B218" s="18">
        <f t="shared" ref="B218:C218" si="33">SUM(B215:B217)</f>
        <v>832586</v>
      </c>
      <c r="C218" s="18">
        <f t="shared" si="33"/>
        <v>1551552</v>
      </c>
      <c r="D218" s="18">
        <f t="shared" ref="D218:I218" si="34">SUM(D215:D217)</f>
        <v>1550932</v>
      </c>
      <c r="E218" s="18">
        <f t="shared" si="34"/>
        <v>1550728</v>
      </c>
      <c r="F218" s="18">
        <f t="shared" si="34"/>
        <v>1550728</v>
      </c>
      <c r="G218" s="18">
        <f t="shared" si="34"/>
        <v>1550728</v>
      </c>
      <c r="H218" s="18">
        <f t="shared" si="34"/>
        <v>1550728</v>
      </c>
      <c r="I218" s="18">
        <f t="shared" si="34"/>
        <v>1550728</v>
      </c>
    </row>
    <row r="219" spans="1:9" x14ac:dyDescent="0.3">
      <c r="A219" s="7"/>
      <c r="B219" s="8"/>
      <c r="C219" s="8"/>
      <c r="D219" s="8"/>
      <c r="E219" s="8"/>
      <c r="F219" s="8"/>
      <c r="G219" s="8"/>
      <c r="H219" s="8"/>
      <c r="I219" s="8"/>
    </row>
    <row r="220" spans="1:9" x14ac:dyDescent="0.3">
      <c r="A220" s="7" t="s">
        <v>197</v>
      </c>
      <c r="B220" s="8">
        <f>+B218*1.15</f>
        <v>957473.89999999991</v>
      </c>
      <c r="C220" s="8">
        <f>+C218*1.1</f>
        <v>1706707.2000000002</v>
      </c>
      <c r="D220" s="8">
        <f>+D218*1.1</f>
        <v>1706025.2000000002</v>
      </c>
      <c r="E220" s="8">
        <f t="shared" ref="E220:I220" si="35">+E218*1.1</f>
        <v>1705800.8</v>
      </c>
      <c r="F220" s="8">
        <f t="shared" si="35"/>
        <v>1705800.8</v>
      </c>
      <c r="G220" s="8">
        <f t="shared" si="35"/>
        <v>1705800.8</v>
      </c>
      <c r="H220" s="8">
        <f t="shared" si="35"/>
        <v>1705800.8</v>
      </c>
      <c r="I220" s="8">
        <f t="shared" si="35"/>
        <v>1705800.8</v>
      </c>
    </row>
    <row r="222" spans="1:9" s="17" customFormat="1" x14ac:dyDescent="0.3">
      <c r="A222" s="5" t="s">
        <v>198</v>
      </c>
      <c r="B222" s="18">
        <f t="shared" ref="B222:I222" si="36">+B212-B220</f>
        <v>55709.100000000093</v>
      </c>
      <c r="C222" s="18">
        <f t="shared" si="36"/>
        <v>117572.79999999981</v>
      </c>
      <c r="D222" s="18">
        <f t="shared" si="36"/>
        <v>6509461.3120274832</v>
      </c>
      <c r="E222" s="18">
        <f t="shared" si="36"/>
        <v>-81995.997253139736</v>
      </c>
      <c r="F222" s="18">
        <f t="shared" si="36"/>
        <v>-85527.815918899607</v>
      </c>
      <c r="G222" s="18">
        <f t="shared" si="36"/>
        <v>-111348.34889669786</v>
      </c>
      <c r="H222" s="18">
        <f t="shared" si="36"/>
        <v>-75449.25183005468</v>
      </c>
      <c r="I222" s="18">
        <f t="shared" si="36"/>
        <v>-42481.854658599244</v>
      </c>
    </row>
    <row r="223" spans="1:9" x14ac:dyDescent="0.3">
      <c r="A223" s="7"/>
      <c r="B223" s="8"/>
      <c r="C223" s="8"/>
      <c r="D223" s="8"/>
      <c r="E223" s="8"/>
      <c r="F223" s="8"/>
      <c r="G223" s="8"/>
      <c r="H223" s="8"/>
      <c r="I223" s="8"/>
    </row>
    <row r="224" spans="1:9" s="17" customFormat="1" x14ac:dyDescent="0.3">
      <c r="A224" s="5" t="s">
        <v>199</v>
      </c>
      <c r="B224" s="19">
        <f t="shared" ref="B224:I224" si="37">+B212/B218</f>
        <v>1.216910925718184</v>
      </c>
      <c r="C224" s="19">
        <f t="shared" si="37"/>
        <v>1.1757775440333291</v>
      </c>
      <c r="D224" s="19">
        <f t="shared" si="37"/>
        <v>5.2971287664626709</v>
      </c>
      <c r="E224" s="19">
        <f t="shared" si="37"/>
        <v>1.0471241911843086</v>
      </c>
      <c r="F224" s="19">
        <f t="shared" si="37"/>
        <v>1.0448466681978403</v>
      </c>
      <c r="G224" s="19">
        <f t="shared" si="37"/>
        <v>1.0281960802302545</v>
      </c>
      <c r="H224" s="19">
        <f t="shared" si="37"/>
        <v>1.051345915060504</v>
      </c>
      <c r="I224" s="19">
        <f t="shared" si="37"/>
        <v>1.0726052185434201</v>
      </c>
    </row>
    <row r="225" spans="1:9" x14ac:dyDescent="0.3">
      <c r="A225" s="7"/>
      <c r="B225" s="8"/>
      <c r="C225" s="8"/>
      <c r="D225" s="8"/>
      <c r="E225" s="8"/>
      <c r="F225" s="8"/>
      <c r="G225" s="8"/>
      <c r="H225" s="8"/>
      <c r="I225" s="8"/>
    </row>
    <row r="226" spans="1:9" x14ac:dyDescent="0.3">
      <c r="A226" s="7"/>
      <c r="B226" s="8"/>
      <c r="C226" s="8"/>
      <c r="D226" s="8"/>
      <c r="E226" s="8"/>
      <c r="F226" s="8"/>
      <c r="G226" s="8"/>
      <c r="H226" s="8"/>
      <c r="I226" s="8"/>
    </row>
    <row r="227" spans="1:9" s="17" customFormat="1" x14ac:dyDescent="0.3">
      <c r="A227" s="5" t="s">
        <v>200</v>
      </c>
      <c r="B227" s="18"/>
      <c r="C227" s="18"/>
      <c r="D227" s="18"/>
      <c r="E227" s="18"/>
      <c r="F227" s="18"/>
      <c r="G227" s="18"/>
      <c r="H227" s="18"/>
      <c r="I227" s="18"/>
    </row>
    <row r="228" spans="1:9" x14ac:dyDescent="0.3">
      <c r="A228" s="4" t="s">
        <v>201</v>
      </c>
      <c r="B228" s="6">
        <f>12*1807</f>
        <v>21684</v>
      </c>
      <c r="C228" s="6">
        <f>12*1807</f>
        <v>21684</v>
      </c>
      <c r="D228" s="6">
        <f>12*1807</f>
        <v>21684</v>
      </c>
      <c r="E228" s="6">
        <f t="shared" ref="E228:I229" si="38">+D228</f>
        <v>21684</v>
      </c>
      <c r="F228" s="6">
        <f t="shared" si="38"/>
        <v>21684</v>
      </c>
      <c r="G228" s="6">
        <f t="shared" si="38"/>
        <v>21684</v>
      </c>
      <c r="H228" s="6">
        <f t="shared" si="38"/>
        <v>21684</v>
      </c>
      <c r="I228" s="6">
        <f t="shared" si="38"/>
        <v>21684</v>
      </c>
    </row>
    <row r="229" spans="1:9" x14ac:dyDescent="0.3">
      <c r="A229" s="12" t="s">
        <v>202</v>
      </c>
      <c r="B229" s="6">
        <v>120000</v>
      </c>
      <c r="C229" s="6">
        <v>120000</v>
      </c>
      <c r="D229" s="6">
        <v>120000</v>
      </c>
      <c r="E229" s="6">
        <v>150000</v>
      </c>
      <c r="F229" s="6">
        <f t="shared" si="38"/>
        <v>150000</v>
      </c>
      <c r="G229" s="6">
        <f t="shared" si="38"/>
        <v>150000</v>
      </c>
      <c r="H229" s="6">
        <f t="shared" si="38"/>
        <v>150000</v>
      </c>
      <c r="I229" s="6">
        <f t="shared" si="38"/>
        <v>150000</v>
      </c>
    </row>
    <row r="230" spans="1:9" s="17" customFormat="1" x14ac:dyDescent="0.3">
      <c r="A230" s="17" t="s">
        <v>203</v>
      </c>
      <c r="B230" s="20">
        <f t="shared" ref="B230:C230" si="39">SUM(B228:B229)</f>
        <v>141684</v>
      </c>
      <c r="C230" s="20">
        <f t="shared" si="39"/>
        <v>141684</v>
      </c>
      <c r="D230" s="20">
        <f t="shared" ref="D230:I230" si="40">SUM(D228:D229)</f>
        <v>141684</v>
      </c>
      <c r="E230" s="20">
        <f t="shared" si="40"/>
        <v>171684</v>
      </c>
      <c r="F230" s="20">
        <f t="shared" si="40"/>
        <v>171684</v>
      </c>
      <c r="G230" s="20">
        <f t="shared" si="40"/>
        <v>171684</v>
      </c>
      <c r="H230" s="20">
        <f t="shared" si="40"/>
        <v>171684</v>
      </c>
      <c r="I230" s="20">
        <f t="shared" si="40"/>
        <v>171684</v>
      </c>
    </row>
    <row r="232" spans="1:9" x14ac:dyDescent="0.3">
      <c r="A232" s="4" t="s">
        <v>204</v>
      </c>
    </row>
    <row r="233" spans="1:9" x14ac:dyDescent="0.3">
      <c r="A233" t="s">
        <v>205</v>
      </c>
      <c r="D233" s="6">
        <f>+D181+D161+D142+D133+D124+D94+D88</f>
        <v>111232</v>
      </c>
    </row>
    <row r="234" spans="1:9" x14ac:dyDescent="0.3">
      <c r="A234" t="s">
        <v>206</v>
      </c>
    </row>
  </sheetData>
  <pageMargins left="0.7" right="0.7" top="0.5" bottom="0.5" header="0.05" footer="0.05"/>
  <pageSetup scale="78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Sinke</dc:creator>
  <cp:lastModifiedBy>Coby</cp:lastModifiedBy>
  <dcterms:created xsi:type="dcterms:W3CDTF">2021-10-29T20:07:07Z</dcterms:created>
  <dcterms:modified xsi:type="dcterms:W3CDTF">2022-01-28T18:14:11Z</dcterms:modified>
</cp:coreProperties>
</file>